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ПЕНИНГ" sheetId="1" r:id="rId4"/>
    <sheet state="visible" name="ЭФФЕКТИВНОСТЬ" sheetId="2" r:id="rId5"/>
    <sheet state="visible" name="ДПСДПМ" sheetId="3" r:id="rId6"/>
    <sheet state="visible" name="КОСТ" sheetId="4" r:id="rId7"/>
    <sheet state="visible" name="СОЗВЕЗДИЯ" sheetId="5" r:id="rId8"/>
    <sheet state="visible" name="ЛИМИТЫ" sheetId="6" r:id="rId9"/>
    <sheet state="visible" name="АРТЕФАКТЫ" sheetId="7" r:id="rId10"/>
    <sheet state="visible" name="ОРУЖИЕ" sheetId="8" r:id="rId11"/>
    <sheet state="visible" name="КАЛЬКУЛЯТОР" sheetId="9" r:id="rId12"/>
    <sheet state="visible" name="РЭЙЗОР" sheetId="10" r:id="rId13"/>
    <sheet state="visible" name="КЛИ" sheetId="11" r:id="rId14"/>
    <sheet state="visible" name="КЛУМБА" sheetId="12" r:id="rId15"/>
    <sheet state="visible" name="ПЕРСОНАЖИ С КАЛЬКУЛЯТОРА" sheetId="13" r:id="rId16"/>
  </sheets>
  <definedNames>
    <definedName hidden="1" localSheetId="1" name="_xlnm._FilterDatabase">'ЭФФЕКТИВНОСТЬ'!$A$1:$X$114</definedName>
    <definedName hidden="1" localSheetId="2" name="_xlnm._FilterDatabase">'ДПСДПМ'!$A$1:$M$50</definedName>
    <definedName hidden="1" localSheetId="3" name="_xlnm._FilterDatabase">'КОСТ'!$A$1:$J$114</definedName>
    <definedName hidden="1" localSheetId="6" name="_xlnm._FilterDatabase">'АРТЕФАКТЫ'!$A$1:$G$43</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3">
      <text>
        <t xml:space="preserve">✅ - ОБНОВЛЕНИЕ ЗАВЕРШЕНО
⏰ - ОБНОВЛЕНИЕ ОЖИДАЕМ
⚠️ - ОБНОВЛЕНИЕ ПОД ВОПРОСОМ!</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⚙️HOT KEY: 
Ctrl F - ПОИСК ПО ИМЕНИ!
Ctrl H - ЗАМЕНА ЗНАКОВ\СЛОВ
ВИД \ СКРЫТЫЕ - ОТКРЫТЬ ЛИСТЫ В РАБОТЕ!
Ctrl Enter - АвтоСорт на РЯД
📜ГАЙД НА ВСЕХ ПЕРСОНАЖЕЙ: https://youtu.be/1kmGNsxN4UM
</t>
      </text>
    </comment>
    <comment authorId="0" ref="E1">
      <text>
        <t xml:space="preserve">⛔️ПОЯСНЕНИЕ!⛔️
МИНИМАЛЬНО ЭФФЕКТИНОВНОЕ НАХОЖДЕНИЕ ПЕРСОНАЖА НА ПОЛЕ БОЯ
⏰ - БЫСТРАЯ РОТАЦИЯ
*ПАУЗА* - ЭТО ПРОМЕЖУТОК ВРЕМЕНИ, ГДЕ ПЕРСОНАЖ НЕ НА ПОЛЕ БОЯ, НО ЕГО РОТАЦИЯ ЕЩЁ НЕ ЗАКОНЧЕНА! 
*ПАУЗА* В ДЛИТЕЛЬНОСТЬ РОТАЦИИ НЕ ИДЁТ, НО УТОЧНИТЬ НАДО!</t>
      </text>
    </comment>
    <comment authorId="0" ref="G1">
      <text>
        <t xml:space="preserve">⛔️ПОЯСНЕНИЕ!⛔️
МАКСИМАЛЬНО ЭФФЕКТИНОВНОЕ НАХОЖДЕНИЕ ПЕРСОНАЖА НА ПОЛЕ БОЯ
⌛ - ДОЛГАЯ РОТАЦИЯ
*ПАУЗА* - ЭТО ПРОМЕЖУТОК ВРЕМЕНИ, ГДЕ ПЕРСОНАЖ НЕ НА ПОЛЕ БОЯ, НО ЕГО РОТАЦИЯ ЕЩЁ НЕ ЗАКОНЧЕНА! 
*ПАУЗА* В ДЛИТЕЛЬНОСТЬ РОТАЦИИ НЕ ИДЁТ, НО УТОЧНИТЬ НАДО!</t>
      </text>
    </comment>
    <comment authorId="0" ref="I1">
      <text>
        <t xml:space="preserve">⛔️ПОЯСНЕНИЕ!⛔️
УРОН МОНО ПЕРСОНАЖА:
1) БЕЗ ПАЧКИ
2) БЕЗ РЕАКЦИЙ
3) БЕЗ РЕЗОНАНСОВ
4) БЕЗ БАФФОВ(ДАЖЕ СВОИХ, КОТОРЫЕ ЗАВИСЯТ ОТ ПАЧКИ)
5) 4⭐️ ПЕРСОНАЖИ С6
6) 5⭐️ ПЕРСОНАЖИ С0
7) ОРУЖИЕ 5⭐️(ИЛИ ЛУЧШЕЕ!)
8) СБОРКА ПО ССЫЛКЕ!!!
⌛ - ДОЛГАЯ РОТАЦИЯ
⏰ - БЫСТРАЯ РОТАЦИЯ
❌ - СВОЯ РОТАЦИЯ</t>
      </text>
    </comment>
    <comment authorId="0" ref="K1">
      <text>
        <t xml:space="preserve">⛔️ПОЯСНЕНИЕ!⛔️
УРОН В РЕАКЦИЯХ:
1) МАКСИМАЛЬНЫЙ УРОН 
(В ЛУЧШЕЙ РЕАКЦИИ)(ЛУЧШЕЙ ПАЧКЕ)
2) ВКЛЮЧЕНИЕ ВСЕХ МЕХАНИК ПЕРСОНАЖА
3) БЕЗ ВНЕШНИХ БАФФОВ
(ТО ЕСТЬ НИКТО НЕ НАЖИМАЕТ КНОПКИ, КРОМЕ ОСНОВНОГО ПЕРСОНАЖА)
5) С РЕЗОНАНСОМ
6) 4⭐️ ПЕРСОНАЖИ С6
7) 5⭐️ ПЕРСОНАЖИ С0
8) ОРУЖИЕ 5⭐️(ИЛИ ЛУЧШЕЕ!)
9) СБОРКА ПО ССЫЛКЕ!!!
⌛ - ДОЛГАЯ РОТАЦИЯ
⏰ - БЫСТРАЯ РОТАЦИЯ
❌ - СВОЯ РОТАЦИЯ</t>
      </text>
    </comment>
    <comment authorId="0" ref="M1">
      <text>
        <t xml:space="preserve">⛔️ПОЯСНЕНИЕ!⛔️
☘️💧⚡️  - ВЕГЕТАЦИЯ
☘️💧🔥  - ЦВЕТЕНИЕ
☘️💧 - БУТОНЫ
☘️⚡️ - СТИМУЛЯЦИЯ
🔥☘️ - ГОРЕНИЕ
🔥❄️ - ТАЯНИЕ
🔥💧 - ПАР
💎 - КРИСТАЛИЗАЦИЯ
💨 - РАССЕИВАНИЕ
💧⚡️ - ЗАРЯЖЕННЫЕ
🔥⚡️ - ПЕРЕГРУЗКА
❄️⚡️ - СВЕРХ-ПРОВОДНИК
💧❄️🔨 - РАЗБИТЫ
💧❄️ - ЗАМОРОЗКА
🐇 - ПРЫЖКИ(НЕ РЕАКЦИЯ)</t>
      </text>
    </comment>
    <comment authorId="0" ref="N1">
      <text>
        <t xml:space="preserve">⛔️ПОЯСНЕНИЕ!⛔️
УРОН МОНО ПЕРСОНАЖА:
1) ТУТ УРОН КАК НА ПОЛЕ ТАК И С КАРМАННА, НО РОТАЦИЯ ВСЕГДА БЫСТРАЯ⏰
(ИНОГДА⌛)
2) БЕЗ ПАЧКИ
3) БЕЗ РЕАКЦИЙ
4) БЕЗ РЕЗОНАНСОВ
5) БЕЗ БАФФОВ(ДАЖЕ СВОИХ, КОТОРЫЕ ЗАВИСЯТ ОТ ПАЧКИ)
6) 4⭐️ ПЕРСОНАЖИ С6
7) 5⭐️ ПЕРСОНАЖИ С0
8) ОРУЖИЕ 5⭐️(ИЛИ ЛУЧШЕЕ!)
9) СБОРКА ПО ССЫЛКЕ!!!</t>
      </text>
    </comment>
    <comment authorId="0" ref="O1">
      <text>
        <t xml:space="preserve">⛔️ПОЯСНЕНИЕ!⛔️
УРОН В РЕАКЦИЯХ:
1) ТУТ УРОН КАК НА ПОЛЕ ТАК И С КАРМАННА, НО РОТАЦИЯ ВСЕГДА БЫСТРАЯ⏰
(ИНОГДА⌛)
2) МАКСИМАЛЬНЫЙ УРОН 
(В ЛУЧШЕЙ РЕАКЦИИ)(ЛУЧШЕЙ ПАЧКЕ)
3) ВКЛЮЧЕНИЕ ВСЕХ МЕХАНИК ПЕРСОНАЖА
4) БЕЗ ВНЕШНИХ БАФФОВ
(ТО ЕСТЬ НИКТО НЕ НАЖИМАЕТ КНОПКИ, КРОМЕ ОСНОВНОГО ПЕРСОНАЖА)
5) С РЕЗОНАНСОМ
6) 4⭐️ ПЕРСОНАЖИ С6
7) 5⭐️ ПЕРСОНАЖИ С0
8) ОРУЖИЕ 5⭐️(ИЛИ ЛУЧШЕЕ!)
9) СБОРКА ПО ССЫЛКЕ!!!</t>
      </text>
    </comment>
    <comment authorId="0" ref="P1">
      <text>
        <t xml:space="preserve">☘️РЕАКЦИЯ☘️
⛔️ПОЯСНЕНИЕ!⛔️
☘️💧⚡️  - ВЕГЕТАЦИЯ
☘️💧🔥  - ЦВЕТЕНИЕ
☘️💧 - БУТОНЫ
☘️⚡️ - СТИМУЛЯЦИЯ
🔥☘️ - ГОРЕНИЕ
🔥❄️ - ТАЯНИЕ
🔥💧 - ПАР
💎 - КРИСТАЛИЗАЦИЯ
💨 - РАССЕИВАНИЕ
💧⚡️ - ЗАРЯЖЕННЫЕ
🔥⚡️ - ПЕРЕГРУЗКА
❄️⚡️ - СВЕРХ-ПРОВОДНИК
💧❄️🔨 - РАЗБИТЫ
💧❄️ - ЗАМОРОЗКА</t>
      </text>
    </comment>
    <comment authorId="0" ref="Q1">
      <text>
        <t xml:space="preserve">⛔️ПОЯСНЕНИЕ!⛔️
ТУТ ВПИСАНЫ ЧИСТЫЙ ДЕ\БАФФ ПЕРСОНАЖА. ЧИСТЫЙ - ЭТО БЕЗ ВЛИЯНИЯ ВСЕГО! 
ПРОСТО БАЗОВЫЕ ЦИФРЫ ПЕРСОНАЖА.
1. ЛЕГИ С0, ВЕДЬ ИХ БАФФЫ ПРОПИСАНЫ В ДРУГОЙ ВКЛАДКЕ!
2. ПРО ЭНЕРГИЮ НАПИСАНО В ДРУГОМ СТОЛБЦЕ!
3. АРТЕФАКТЫ ПРОПИСАНЫ В ДРУГОЙ ВКЛАДКЕ
4. ОРУЖИЕ ПРОПИСАНЫ В ДРУГОЙ ВКЛАДКЕ
5. БАФФЫ НА БАЗОВОМ УРОВНЕ МАССОВЫЕ! ОСТАЛЬНОЕ УТОЧНЯЕТСЯ!
☢️НО ТАК КАК ЦИФЕР МНОГО У НЕКОТОРЫХ, ТО Я РЕШИЛ ПРОСТО ПОМЕЧАТЬ АББРЕВИАТУРАМИ ПРИБАВКУ, А УЖЕ ТОЧНЫЕ ЦИФРЫ БУДУТ В ПРИМЕЧАНИИ!☢️
СА : БАФФ СИЛЫ АТАКИ
АФ : БАФФ АФФИКСА
АФ.РЕАКТ : БАФФ АФФИКСА РЕАКЦИИ
ЗЩ : БАФФ ЗАЩИТЫ
-ЗЩ : ДЕБАФФ ЗАЩИТЫ
МС : БАФФ МАСТЕРСТВА СТИХИЙ
ШК : БАФФАЕТ ШАНС КРИТА
СКР : ПОВЫШАЕТ СКОРОСТЬ АТАКИ (БЕГ НЕ СЧИТАЕТСЯ!)
-РЕЗ : ПОНИЖАЕТ РЕЗИСТЫ
УС : УСИЛЕНИЕ ЧЕГО-ТО(НАПРИМЕР ОБЫЧНЫХ УДАРОВ У ЮНЬ ДЗИНЬ)
</t>
      </text>
    </comment>
    <comment authorId="0" ref="R1">
      <text>
        <t xml:space="preserve">⛔️ПОЯСНЕНИЕ!⛔️
УСРЕДНЁННЫЙ ХИЛ ПЕРСОНАЖА:
1) ОРУЖИЕ ТАК ЖЕ СЧИТАЕТСЯ!(ЯНТАРЬ)
2) КАЖДАЯ ЦИФРА ХИЛА ПРОПИСАНА В ЗАМЕТКАХ
3) САМОХИЛ ТОЖЕ СЧИТАЕТСЯ!
4) ПОЖИРАНИЕ ХП НЕ УЧИТЫВАЕТСЯ! (КАК ФУРИНЫ)
5) ТАЛАНТЫ С КОРОНАМИ
6) ЭТО ЗА 1 РОТАЦИЯ!</t>
      </text>
    </comment>
    <comment authorId="0" ref="S1">
      <text>
        <t xml:space="preserve">⛔️ПОЯСНЕНИЕ!⛔️
УСРЕДНЁННЫЙ ЩИТ ПЕРСОНАЖА:
1) ЩИТ НА КОНСТАХ СЧИТАЮТСЯ!
2) САМОЩИТЫ СЧИТАЮТСЯ
3) КРИСТАЛЛЫ СЧИТАЮТСЯ
4) ТАЛАНТЫ С КОРОНАМИ!
5) ЭТО ЗА 1 РОТАЦИЮ!</t>
      </text>
    </comment>
    <comment authorId="0" ref="T1">
      <text>
        <t xml:space="preserve">⛔️ПОЯСНЕНИЕ!⛔️
ЭНЕРГИЯ ПОСЧИТАНА ЗА ВСЮ РОТАЦИЮ ПЕРСОНАЖА. 
РОТАЦИЯ ВЫБИРАЛАСЬ ОПТИМАЛЬНАЯ (ТО ЕСТЬ ЛУЧШАЯ ДЛЯ ПЕРСОНАЖА)
ЭЧ - ЭЛЕМЕНТАЛЬНАЯ ЧАСТИЦА
(ЧИСЛО) - ПРИ УСЛОВИЯХ(ЗАРЯЖЕННАЯ ЕШКА\СОЗВЕЗДИЯ\ПАССИВКА)
Е - ЭНЕРГИЯ
% - ВОССТАНОВЛЕНИЕ ЭНЕРГИИ
ПЕРСОНАЖИ 5⭐️ РАССМАТРИВАЛИСЬ ВСЕ С0, ЕСЛИ СОЗВЕЗДИЯ КАК-ТО ВЛИЯЮТ НА ЭНЕРГИЮ, ТО Я ЭТОТ МОМЕНТ УТОЧНЮ В ТАБЛИЦЕ З СОЗВЕЗДИЯМИ</t>
      </text>
    </comment>
    <comment authorId="0" ref="U1">
      <text>
        <t xml:space="preserve">⛔️ПОЯСНЕНИЕ!⛔️
СТАТУС - ЭТО ПОКАЗАТЕЛЬ ЭФФЕКТИВНОСТИ СТАТУСА ПЕРСОНАЖА. 
ЦИФРА ПОКАЗЫВАЕТ СУММАРНОЕ КОЛИЧЕСТВО СТАТУСА ЗА РОТАЦИЮ. 
ТОЧНОЕ КОЛИЧЕСТВО СТАТУСА УТОЧНЯЕТСЯ В ЗАМЕТКЕ НА ЦИФРЕ
CC - ЭТО СИЛА СТАТУСА
📜ГАЙД ЧТО ТАКОЕ СТАТУС :
https://youtu.be/1WuNsoi4aNw
ПЕРСОНАЖИ 5⭐️ РАССМАТРИВАЛИСЬ ВСЕ С0, ЕСЛИ СОЗВЕЗДИЯ КАК-ТО ВЛИЯЮТ НА СТАТУС, ТО Я ЭТОТ МОМЕНТ УТОЧНЮ В ТАБЛИЦЕ З СОЗВЕЗДИЯМИ</t>
      </text>
    </comment>
    <comment authorId="0" ref="V1">
      <text>
        <t xml:space="preserve">⛔️ПОЯСНЕНИЕ!⛔️
ГИБКОСТЬ - ЭТО ТИПА КОЛИЧЕСТВО ПАЧЕК, НО НЕМНОГО СЛОЖНЕЙ! ☢️ 
ЭТО ОПРЕДЕЛЁННЫЙ СЧЁТ ВЗАИМОДЕЙСТВИЙ С ПЕРСОНАЖАМИ, КОТОРЫЙ УЖЕ И ОТОБРАЖАЕТ КОЛИЧЕСТВО ВОЗМОЖНЫХ ПАЧЕК.
📜САЙТ ГДЕ СЧИТАЛОСЬ:
https://genshin-graph.netlify.app/
ЕСЛИ ГОВОРИТЬ ПРОСТЫМИ СЛОВАМИ, ЧЕМ БОЛЬШЕ ГИБКОСТЬ, ТЕМ БОЛЬШЕ ПАЧЕК. НО САМА ЦИФРА "ГИБКОСТИ" НЕ ПОКАЗЫВАЕТ ТОЧНОЕ КОЛИЧЕСТВО ПАЧЕК!</t>
      </text>
    </comment>
    <comment authorId="0" ref="W1">
      <text>
        <t xml:space="preserve">⛔️ПОЯСНЕНИЕ!⛔️
У НЕПОЛНЫХ ЩИТОВ И НЕКОТОРЫХ ДД ЕСТЬ СТОЙКОСТЬ ВНУТРИ СТОЕК. ТАК ВОТ ТУТ ЦИФРА КАК РАЗ ОПИСЫВАЕТ СИЛУ ЭТОЙ СТОЙКОСТИ. ЧЕМ ЦИФРА НИЖЕ, ТЕМ СЛОЖНЕЕ ПРЕРВАТЬ ПЕРСОНАЖА. 
СТОЙКОСТЬ СКЛАДЫВАЕТСЯ. 
НАПРИМЕР: 0,5*0,7 = 0,35 
0 - ПОЛНЫЙ НЕПРЕРЫВ.
0 - ТАК ЖЕ УЛЬТ И ПРЫЖОК У ВСЕХ!
0 - ВО ВРЕМЯ РЫВКА
0,6 - НАЖАТИЕ ЕШКИ\ПОСЛЕ УЛЬТЫ У ВСЕХ!
ПОДРОБНО В ЭТОМ ВИДИКЕ:
https://youtu.be/Bnf8b0nAhPg</t>
      </text>
    </comment>
    <comment authorId="0" ref="X1">
      <text>
        <t xml:space="preserve">⛔️ПОЯСНЕНИЕ!⛔️
ТАЛАНТЫ, ПАССИВКИ, СОЗВЕДИЯ, МЕХАНИКИ - КОТОРЫЕ МОГУТ КАК-ТО ВЛИЯТЬ НА ПЕРЕМЕЩЕНИЕ\УРОН\
ВЫЖИВАЕМОСТЬ И ТД., ПРИ ЭТОМ НЕ ПОДЛЕЖАТ ПОДСЧЁТУ
СНШОТ - СНЕП-ШОТ(СКИЛЛ ФИКСИРУЕТ БАФФЫ ПРИ НАЖАТИИ)
МОБ - НОРМ МОБИЛЬНОСТЬ
МОБ+ - ИМБА МОБИЛЬНОСТЬ
КОН+ - КОНСТРУКЦИИ
СТЯЖКА - СТЯГИВАЕТ ВРАГОВ
СТЯЖКА+ - СИЛЬНО СТЯГИВАЕТ
ПНЕВМО\УСИЯ - МЕХАНИКА ФОНТЕЙНА
ДУХ - ПЕРСОНАЖ С НАТЛАНА
ЛУН - ПЕРСОНАЖ С НОД КРАЯ
ШАБАШ - ПЕРСОНАЖИ С ШАБАША (МАГИЧЕСКИЕ)
</t>
      </text>
    </comment>
    <comment authorId="0" ref="E2">
      <text>
        <t xml:space="preserve">РОТАЦИЯ:
ЕШКА - УЛЬТА</t>
      </text>
    </comment>
    <comment authorId="0" ref="G2">
      <text>
        <t xml:space="preserve">РОТАЦИЯ:
ДОЛГАЯ ЕШКА - ПРЫЖОК - РЫВОК - УЛЬТА
</t>
      </text>
    </comment>
    <comment authorId="0" ref="T2">
      <text>
        <t xml:space="preserve">3 - БЫСТРАЯ ЕШКА
(4) - ДОЛГАЯ ЕШКА
15Е СЕБЕ И ДРУГИМ - П2</t>
      </text>
    </comment>
    <comment authorId="0" ref="U2">
      <text>
        <t xml:space="preserve">РОТАЦИЯ⌛: 
ЕШКА - УЛЬТА
☘️☘️☘️
ЕШКА НАЖАТИЕ - 2 СС
---
УЛЬТА(АНЕМО💨) - 7 СС (ПО ИДЕЕ КАК БЫ УДАРОВ 20, НО КД РАССЕВАНИЯ ВСЁ РАВНО НЕ ДАСТ БОЛЬШЕ 7 РАЗ ПРОКНУТЬ) 
---
УЛЬТА(ПОГЛОЩЕНИЕ❄️) - 9 СС (УДАРОВ 20, НО КАК ВСЕГДА ЛИМИТЫ, НУ И МЕШАЕТ КД РЕАКЦИЙ)
РОТАЦИЯ: 18 СС (9 СС АНЕМО \ 9 СС КРИО)</t>
      </text>
    </comment>
    <comment authorId="0" ref="W2">
      <text>
        <t xml:space="preserve">ВО ВРЕМЯ КАСТА ДОЛГОЙ ЕШКИ</t>
      </text>
    </comment>
    <comment authorId="0" ref="X2">
      <text>
        <t xml:space="preserve">УЛЬТА ФИКСИРУЕТ БАФФЫ В КОНЦЕ АНИМАЦИИ
МОБ - МОЖЕТ ВЫСОКО ПОДНИМАТЬСЯ ЗА СЧЁТ ЕШКИ
ПЕРСОНАЖ ШАБАША</t>
      </text>
    </comment>
    <comment authorId="0" ref="E3">
      <text>
        <t xml:space="preserve">РОТАЦИЯ:
ЕШКА - УЛЬТА</t>
      </text>
    </comment>
    <comment authorId="0" ref="G3">
      <text>
        <t xml:space="preserve">РОТАЦИЯ:
ДОЛГАЯ ЕШКА - УЛЬТА</t>
      </text>
    </comment>
    <comment authorId="0" ref="Q3">
      <text>
        <t xml:space="preserve">С6. ДАЁТ -20% АНЕМО РЕЗИСТУ И ПОГЛОЩЁННОЙ 
СТИХИИ  🔥\💧\❄️\⚡️ УЛЬТОЙ
ДЕБАФФ ДЛИТЬСЯ 10 сек., ПОСЛЕ НАЛОЖЕНИЯ!</t>
      </text>
    </comment>
    <comment authorId="0" ref="T3">
      <text>
        <t xml:space="preserve">2 - БЫСТРАЯ ЕШКА
(3,3) - ДОЛГАЯ ЕШКА</t>
      </text>
    </comment>
    <comment authorId="0" ref="U3">
      <text>
        <t xml:space="preserve">РОТАЦИЯ:
ЕШКА - УЛЬТА
☘️☘️☘️
ЕШКА - 3 СС (2 СС АНЕМО\1 СС ПОГЛЩ.🔥)
УЛЬТА - 3 СС (3 УДАРА)(1 СС АНЕМО\2 СС ПОГЛЩ.🔥)
(ЛИМИТЫ ДАЮТ СТАТУС ТОЛЬКО 1 РАЗ ЗА 3 УДАРА)
РОТАЦИЯ: 6 СС (3 СС АНЕМО\ 3 СС ПОГЛЩ.🔥)</t>
      </text>
    </comment>
    <comment authorId="0" ref="W3">
      <text>
        <t xml:space="preserve">ВО ВРЕМЯ КАСТА ЕШКИ</t>
      </text>
    </comment>
    <comment authorId="0" ref="X3">
      <text>
        <t xml:space="preserve">УЛЬТА ФИКСИРУЕТ БАФФЫ ПРИ НАЖАТИИ</t>
      </text>
    </comment>
    <comment authorId="0" ref="E4">
      <text>
        <t xml:space="preserve">РОТАЦИЯ:
ЕШКА - УЛЬТА</t>
      </text>
    </comment>
    <comment authorId="0" ref="G4">
      <text>
        <t xml:space="preserve">РОТАЦИЯ:
ЕШКА ДОЛГАЯ - УЛЬТА</t>
      </text>
    </comment>
    <comment authorId="0" ref="R4">
      <text>
        <t xml:space="preserve">УЛЬТА ПРИ НАЖАТИИ ДАЁТ 18к КАЖДОМУ
А ПОТОМ 1.8к в сек. В ТЕЧЕНИЕ 10 сек. АКТИВНОМУ ПЕРСОНАЖУ</t>
      </text>
    </comment>
    <comment authorId="0" ref="T4">
      <text>
        <t xml:space="preserve">2.6 - ЕШКА
16Е - ПАССИВКА</t>
      </text>
    </comment>
    <comment authorId="0" ref="U4">
      <text>
        <t xml:space="preserve">РОТАЦИЯ:
ЕШКА - УЛЬТА
☘️☘️☘️
ЕШКА - 2 СС
УЛЬТА НАЖАТИЕ - 2 СС
КАСАНИЕ ОБЛАСТИ 1 РАЗ - 2 СС
РОТАЦИЯ: 6 СС</t>
      </text>
    </comment>
    <comment authorId="0" ref="W4">
      <text>
        <t xml:space="preserve">ВО ВРЕМЯ НАЖАТИЯ ЗАРЯЖКИ
В ЕШКЕ СТОЙКИ НЕТ...</t>
      </text>
    </comment>
    <comment authorId="0" ref="X4">
      <text>
        <t xml:space="preserve">АНТ.ЭЛМ - СНИМАЕТ СТИХИЮ С ПЕРСОНАЖА
УЛЬТА ФИКСИРУЕТ БАФФЫ ПОСЛЕ ПЕРВОГО УДАРА</t>
      </text>
    </comment>
    <comment authorId="0" ref="E5">
      <text>
        <t xml:space="preserve">РОТАЦИЯ:
ЕШКА 1 УДАР - УЛЬТА</t>
      </text>
    </comment>
    <comment authorId="0" ref="G5">
      <text>
        <t xml:space="preserve">РОТАЦИЯ:
УЛЬТА - ЕШКА - 13 УДАРОВ - ПРЫЖОК
</t>
      </text>
    </comment>
    <comment authorId="0" ref="Q5">
      <text>
        <t xml:space="preserve">П1. ДАЁТ БАФФ РАССЕИВАНИЯ И ЗАРЯЖЕН (ЛУН. ЗАРЯЖЕН) ПОКА ДЛИТЬСЯ ЕШКА
150 СТАКОВ = 225%(30%)
100 СТАКОВ = 150%(20%)
ПРИ С2 МОЖНО 200 СТАКОВ
200 СТАКОВ = 300%(40%)
УРОН РАСТЁТ БАЗОВОЙ ЦИФРЫ РЕАКЦИИ!
РАССЕИВАНИЕ - ЭТО 900
ЗАРЯЖЕН - ЭТО 2900
ЛУН. ЗАРЯЖЕН - ЭТО АФФИКС!</t>
      </text>
    </comment>
    <comment authorId="0" ref="R5">
      <text>
        <t xml:space="preserve">КАЖДЫЙ ВЫСТРЕЛ В ЕШКЕ ХИЛИТ ПО 400 КАЖДОМУ!
1.6к КАЖДЫЙ ВЫСТРЕЛ х ВЫСТРЕЛОВ 13 = 21к СУММАРНО!
ТО ЕСТЬ ОДНОМУ БУДЕТ ТОЛЬКО 5.2к
ХИЛ ОЧЕНЬ СЛАБЫЙ...
И САМОЕ СМЕШНОЕ, ХИЛ МОЖЕТ БЫТЬ ЕЩЁ МЕНЬШЕ!
21к ЭТО ЕЩЁ НЕ ПЛОХО ДЛЯ ИФЫ!
А ТАК ЖЕ С6 ТОЖЕ ДАЁТ ХИЛЛ. ТО ЕСТЬ 7 ПУЛЬ ПО 400 ВСЕМ.
А ЭТО 2,8к КАЖДОМУ. ТО ЕСТЬ 11,2к
СУММА:  32,2к ЧТО УЖЕ НЕ ТАК ПЛОХО!</t>
      </text>
    </comment>
    <comment authorId="0" ref="T5">
      <text>
        <t xml:space="preserve">ЗА ПЕРВОЕ ПОПАДЕНИЕ ЕШКОЙ</t>
      </text>
    </comment>
    <comment authorId="0" ref="U5">
      <text>
        <t xml:space="preserve">РОТАЦИЯ:
УЛЬТА - ЕШКА - 13 УДАРОВ
☘️☘️☘️
УЛЬТА - 2 СС (1 СС АНЕМО \ 1 СС ГИДРО💧)
---
ЕШКА УДАРЫ - 7 СС (13 УДАРОВ, ЛИМИТЫ КАК БЫ ЕСТЬ, НО НА САМОМ ДЕЛЕ ЕДИНСТВЕННЫЙ ЛИМИТ - ЭТО КД РАССЕИВАНИЯ)
(А ЭТО 1 РАССЕИВАНИЕ В 1.2 сек.)
РОТАЦИЯ: 9 СС</t>
      </text>
    </comment>
    <comment authorId="0" ref="X5">
      <text>
        <t xml:space="preserve">МОБ+ - ЛЕТАЕТ В ЕШКЕ</t>
      </text>
    </comment>
    <comment authorId="0" ref="E6">
      <text>
        <t xml:space="preserve">РОТАЦИЯ:
БЫСТРАЯ ЕШКА - УЛЬТА</t>
      </text>
    </comment>
    <comment authorId="0" ref="G6">
      <text>
        <t xml:space="preserve">РОТАЦИЯ:
ДОЛГАЯ ЕШКА - УЛЬТА</t>
      </text>
    </comment>
    <comment authorId="0" ref="Q6">
      <text>
        <t xml:space="preserve">П2. ДАЁТ 40% АФФИКСА ПОГЛОЩЁННОЙ СТИХИИ 🔥\💧\❄️\⚡️ ПРИ 1000 МС
1200 МС - 48%
800 МС - 32%
500 МС - 20%
БАФФ ДЛИТЬСЯ 8 сек. И АКТИВИРУЕТСЯ С КАРМАНА</t>
      </text>
    </comment>
    <comment authorId="0" ref="T6">
      <text>
        <t xml:space="preserve">3 - БЫСТРАЯ ЕШКА
(4) - ДОЛГАЯ ЕШКА</t>
      </text>
    </comment>
    <comment authorId="0" ref="U6">
      <text>
        <t xml:space="preserve">РОТАЦИЯ⌛:
ДОЛГАЯ ЕШКА - УЛЬТА
☘️☘️☘️
ЕШКА НАЖАТИЕ - 2 СС
АНИМЕ ПАДЕНИЕ - 1 СС
🔥ПИРО ПАДЕНИЕ - 1 СС
УЛЬТА НАЖАТИЕ - 2 СС
УЛЬТА АНЕМО КАРМАН - 5 СС
УЛЬТА 🔥ПИРО КАРМАН - 5 СС
РОТАЦИЯ: 14 СС (8 СС АНЕМО \ 6 СС 🔥ПИРО)</t>
      </text>
    </comment>
    <comment authorId="0" ref="W6">
      <text>
        <t xml:space="preserve">ВО ВРЕМЯ НАЖАТИЯ ЕШКИ И В ПОЛЁТЕ ПОСЛЕ ЕШКИ</t>
      </text>
    </comment>
    <comment authorId="0" ref="X6">
      <text>
        <t xml:space="preserve">УЛЬТА ФИКСИРУЕТ БАФФЫ ПОСЛЕ ПЕРВОГО УДАРА
МОБ - МОЖЕТ ВЫСОКО ПОДНИМАТЬСЯ ЗА СЧЁТ ЕШКИ, ТАК ЖЕ В ВОЗДУХЕ</t>
      </text>
    </comment>
    <comment authorId="0" ref="E7">
      <text>
        <t xml:space="preserve">РОТАЦИЯ:
ЕШКА - УЛЬТА</t>
      </text>
    </comment>
    <comment authorId="0" ref="G7">
      <text>
        <t xml:space="preserve">РОТАЦИЯ:
ЕШКА - УЛЬТА - ЕШКА</t>
      </text>
    </comment>
    <comment authorId="0" ref="L7">
      <text>
        <t xml:space="preserve">РОТАЦИЯ КАК ВСЕГДА У АНЕМО КАТАЛИК ДРАЙВЕРА ДОЛГАЯ И НАХОДИТСЯ ПО ССЫЛКЕ!</t>
      </text>
    </comment>
    <comment authorId="0" ref="Q7">
      <text>
        <t xml:space="preserve">С4. ДАЁТ 60 МС ВСЕМ ПОСЛЕ УЛЬТЫ НА 12 сек.</t>
      </text>
    </comment>
    <comment authorId="0" ref="S7">
      <text>
        <t xml:space="preserve">ПОТЕНЦИАЛЬНЫЙ РОСТ ДО 24к
МИНИМАЛЬНЫЙ ЩИТ - 12к
МЕДИАНА: 20к</t>
      </text>
    </comment>
    <comment authorId="0" ref="T7">
      <text>
        <t xml:space="preserve">6 - ЗА 2 ЕШКИ
3 - ОДНА ЕШКА</t>
      </text>
    </comment>
    <comment authorId="0" ref="U7">
      <text>
        <t xml:space="preserve">РОТАЦИЯ⌛:
ЕШКА - УЛЬТА - ЕШКА
☘️☘️☘️
ЕШКА 8 УДАРОВ х2 - (2 СС АНЕМО + 2 СС 💧ГИДРО) х2 (УДАРОВ МНОГО, НО ЛИМИТЫ)
---
УЛЬТА 3 УДАРА - 2 СС 
(УДАРА 3, НО НАКЛАДЫВАЕТ ТОЛЬКО 1 ИЗ-ЗА ЛИМИТОВ) 
РОТАЦИЯ: 10 СС (6 СС АНЕМО \ 4 СС 💧ГИДРО)</t>
      </text>
    </comment>
    <comment authorId="0" ref="X7">
      <text>
        <t xml:space="preserve">ДЕЛАЕТ БЫСТРЫЙ РЫВОК В ЕШКЕ</t>
      </text>
    </comment>
    <comment authorId="0" ref="E8">
      <text>
        <t xml:space="preserve">РОТАЦИЯ:
ЕШКА - УЛЬТА</t>
      </text>
    </comment>
    <comment authorId="0" ref="G8">
      <text>
        <t xml:space="preserve">РОТАЦИЯ:
ЕШКА - УЛЬТА - 2 ЗАРЯЖЕННЫЕ - ЕШКА - 2 ЗАРЯЖЕННЫЕ</t>
      </text>
    </comment>
    <comment authorId="0" ref="Q8">
      <text>
        <t xml:space="preserve">8%/12%/16%/20% СА ПОСЛЕ НАЖАТИЯ УЛЬТЫ НА 10 сек.
БАФФ ЗАВИСИТ ОТ РАЗНЫХ СТИХИЙ В ПАЧКЕ!
1\2\3\4 РАЗНЫХ СТИХИЙ</t>
      </text>
    </comment>
    <comment authorId="0" ref="R8">
      <text>
        <t xml:space="preserve">ПОСЛЕ НАЖАТИЯ ЕШКИ ХИЛИТ И ТРАТИТ 5,6к
А ЗНАЧИТ ЗА ДВЕ ЕШКИ 11,2к</t>
      </text>
    </comment>
    <comment authorId="0" ref="T8">
      <text>
        <t xml:space="preserve">ЕШКА - 4 ЧАСТИЦЫ
ЕШКА х2 - 8 ЧАСТИЦ</t>
      </text>
    </comment>
    <comment authorId="0" ref="U8">
      <text>
        <t xml:space="preserve">РОТАЦИЯ:
ЕШКА - УЛЬТА - ЕШКА
☘️☘️☘️
ЕШКА х2 - 1 СС х2
УЛЬТА НАЖАТИЕ - 1 СС
---
УЛЬТА КАРМАН - 5 СС 
(УДАРОВ 12, НО ЛИМИТЫ)
---
УЛЬТА 💧ГИДРО КАРМАН - 5 СС (УДАВРО БУДЕТ 10, НО ЛИМИТЫ)
РОТАЦИЯ:  13 СС (8 СС АНЕМО / 5 СС ГИДРО💧)</t>
      </text>
    </comment>
    <comment authorId="0" ref="W8">
      <text>
        <t xml:space="preserve">ВО ВРЕМЯ ЕШКИ</t>
      </text>
    </comment>
    <comment authorId="0" ref="X8">
      <text>
        <t xml:space="preserve">МОБ+ - БЫСТРО БЕГАЕТ В ЕШКЕ</t>
      </text>
    </comment>
    <comment authorId="0" ref="E9">
      <text>
        <t xml:space="preserve">РОТАЦИЯ:
УЛЬТА - ЕШКА 4 УДАРА</t>
      </text>
    </comment>
    <comment authorId="0" ref="G9">
      <text>
        <t xml:space="preserve">РОТАЦИЯ:
УЛЬТА - ФУЛЛ ЕШКА</t>
      </text>
    </comment>
    <comment authorId="0" ref="Q9">
      <text>
        <t xml:space="preserve">ЕШКА ДАЁТ БАФФ РАССЕИВАНИЯ ОТ ЕЁ МС, ПОКА ДЛИТЬСЯ СТОЙКА
10 ЛВЛ\13 ЛВЛ
1200 МС = 540%\648%
1000 МС = 450%\540%
800 МС = 360%\432%
УРОН РАСТЁТ БАЗОВОЙ ЦИФРЫ РЕАКЦИИ, А ОНА В СРЕДНЕМ 900 БУДЕТ!</t>
      </text>
    </comment>
    <comment authorId="0" ref="R9">
      <text>
        <t xml:space="preserve">С ХИЛОМ ТУТ ВСЁ ОЧЕНЬ СЛОЖНО!
ВЕДЬ ТИК ДАЁТ 3к АКТИВНОМУ
ТИКОВ 7, НО!
ЕСЛИ САМА СЕБЕ, ТО 6к ЗА ТИК. НО!
БУДЕТ ЛИ ЭТО ХИЛ ИЛИ ПЕЧЕНЬКА НАНЕСЁТ УРОН. ТУТ Я УЖЕ СКАЗАТЬ НЕ МОГУ...
ПОЭТОМУ 21к, ЭТО ПРИ ЛУЧШИХ РАСКЛАДАХ С КАКОЙ-ТО ФУРИНОЙ. ПРОЩЕ КАК ПО МНЕ ПОСТАВИТЬ ЯНТАРЬ ПОД ФУРИНУ. ХИЛА ЯВНО БУДЕТ БОЛЬШЕ!</t>
      </text>
    </comment>
    <comment authorId="0" ref="T9">
      <text>
        <t xml:space="preserve">ЕШКА ДАЁТ 1 ЧАСТИЦУ ЗА УДАР.
МАКСИМУМ МЫ МОЖЕМ ПОЛУЧИТЬ 4 ЧАСТИЦЫ ЗА ЕШКУ.
ПРИ ЧЁМ ЛИМИТЫ НА АКТИВАЦИЮ НЕТ! А ЭТО ЗНАЧИТ, ВСЕ 4 ЧАСТИЦЫ МЫ ПОЛУЧИМ ЗА 2 сек.</t>
      </text>
    </comment>
    <comment authorId="0" ref="U9">
      <text>
        <t xml:space="preserve">РОТАЦИЯ:
УЛЬТА - ФУЛЛ ЕШКА
☘️☘️☘️
УЛЬТА НАЖАТИЕ - 2 СС
УЛЬТА КАРМАН 7 РАЗ - 7 СС
ЕШКА НАЖАТИЕ - 1 СС
---
ЕШКА ВЫСТРЕЛЫ - 7 СС (ХОТЯ УДАРОВ 13, НО ТАМ УНИКАЛЬНЫЙ ЛИМИТ)(1 СС РАЗ В 1.2 сек)
РОТАЦИЯ: 17 СС</t>
      </text>
    </comment>
    <comment authorId="0" ref="W9">
      <text>
        <t xml:space="preserve">В ЕШКЕ</t>
      </text>
    </comment>
    <comment authorId="0" ref="X9">
      <text>
        <t xml:space="preserve">МОБ - В ЕШКЕ ПАРИТ В ВОЗДУХЕ</t>
      </text>
    </comment>
    <comment authorId="0" ref="E10">
      <text>
        <t xml:space="preserve">РОТАЦИЯ:
ЕШКА - УЛЬТА - ЕШКА</t>
      </text>
    </comment>
    <comment authorId="0" ref="G10">
      <text>
        <t xml:space="preserve">РОТАЦИЯ:
ЕШКА - УЛЬТА - ЕШКА х2</t>
      </text>
    </comment>
    <comment authorId="0" ref="L10">
      <text>
        <t xml:space="preserve">РОТАЦИЯ КАК ВСЕГДА У АНЕМО КАТАЛИК ДРАЙВЕРА ДОЛГАЯ И НАХОДИТСЯ ПО ССЫЛКЕ!</t>
      </text>
    </comment>
    <comment authorId="0" ref="Q10">
      <text>
        <t xml:space="preserve">П1. ДАЁТ 50 МС ПЕРСАМ ПОГЛОЩЁННОЙ СТИХИИ 🔥\💧\❄️\⚡️
П2. ДАЁТ 200 МС ПРИ 1000 МС У САХАРОЗЫ ПОСЛЕ НАЖАТИЯ УЛЬТЫ ИЛИ ЕШКИ
800 МС - 160 МС
500 МС - 100 МС
НА САХАРОЗУ ЕЁ МС БАФФЫ НЕ РАБОТАЮТ!
С6. УЛЬТ ДАЁТ 20% АФФИКСА ПОГЛОЩЁННОЙ СТИХИИ 🔥\💧\❄️\⚡️
ВСЕ БАФФЫ ДЛЯТСЯ 8 сек. И НЕ РАБОТАЮТ С КАРМАНА!</t>
      </text>
    </comment>
    <comment authorId="0" ref="T10">
      <text>
        <t xml:space="preserve">4 - ОДНА ЕШКА
8 - ДВЕ ЕШКИ
(12) - ТРИ ЕШКИ(ЦЕРОМОНИЯ)</t>
      </text>
    </comment>
    <comment authorId="0" ref="U10">
      <text>
        <t xml:space="preserve">РОТАЦИЯ:
ЕШКА - УЛЬТА - ЕШКА - УДАР - ЕШКА
☘️☘️☘️
ЕШКА 3 РАЗА - 3 СС
УЛЬТА - 7 СС(7 УДАРОВ)(4 СС АНЕМО\3 СС ПОГЛЩ.🔥)(ЛИМИТОВ НЕТ!)
---
УДАР - 1 СС
РОТАЦИЯ: 11 СС</t>
      </text>
    </comment>
    <comment authorId="0" ref="X10">
      <text>
        <t xml:space="preserve">УЛЬТА ФИКСИРУЕТ БАФФЫ ПРИ ПОЯВЛЕНИЯ
ПЕРСОНАЖ ШАБАША</t>
      </text>
    </comment>
    <comment authorId="0" ref="E11">
      <text>
        <t xml:space="preserve">РОТАЦИЯ:
ЕШКА - УЛЬТА</t>
      </text>
    </comment>
    <comment authorId="0" ref="G11">
      <text>
        <t xml:space="preserve">РОТАЦИЯ:
УЛЬТА - ЕШКА ДОЛГАЯ ДО ТАЛОГО</t>
      </text>
    </comment>
    <comment authorId="0" ref="R11">
      <text>
        <t xml:space="preserve">УЛЬТА НАЖАТИЕ - 4.8к ВСЕМ
УЛЬТА КАРМАН 6 РАЗ - 6.8к х6 АКТИВНОМУ ПЕРСОНАЖУ
П1 - 1350 ВСЕМ ЗА 💨 НА ПОЛЕ, А ЗНАЧИТ 9 АКТИВАЦИЙ! 48.5к
ЕСЛИ ИГРАЕШЬ КАК НЕ ДРАЙВЕР! ТО ОНА ХИЛИТ 60к</t>
      </text>
    </comment>
    <comment authorId="0" ref="T11">
      <text>
        <t xml:space="preserve">3 - БЫСТРАЯ ЕШКА
(6) - ДОЛГАЯ ЕШКА
1Е - БЫСТРАЯ ЕШКА ПАССИВКИ
(12)Е - ДОЛГАЯ ЕШКА ПАССИВКИ
В ИДЕАЛЕ НАДО НАЖАТЬ ДОЛГУЮ ЕШКУ И СРАЗУ ОТПУСТИТЬ! ТО ЕСТЬ ПОЛУЧИТЬ НЕ 3 ЧАСТИЦЫ, А 4</t>
      </text>
    </comment>
    <comment authorId="0" ref="U11">
      <text>
        <t xml:space="preserve">РОТАЦИЯ:
ЕШКА - УЛЬТА
☘️☘️☘️
ЕШКА БЫСТРАЯ - 1 СС
УЛЬТА НАЖАТИЕ - 1 СС
УЛЬТА КАРМАН - 4 СС 
(6 УДАРОВ И КАК ВСЕГДА ЛИМИТЫ!
РОТАЦИЯ: 6 СС
⛔️⛔️⛔️
ЕСЛИ ИГРАТЬ КАК ДРАЙВЕР, ТО ЕШКА БУДЕТ 10 сек.
☘️☘️☘️
ЕШКА ДЕРЖИМ - 16 СС (8 АНЕМО, 8ПОГЛЩ.⚡️)(В СРЕДНЕМ 8 РАССЕИВАНИЯ)(А ПОГЛЩ. СТИХИЯ ЗАВИСИТ ОТ РЕАКЦИИ, КОТОРУЮ АКТВ.)
УЛЬТА - 4 СС
РОТАЦИЯ: 20 СС
</t>
      </text>
    </comment>
    <comment authorId="0" ref="W11">
      <text>
        <t xml:space="preserve">ВО ВРЕМЯ ЕШКИ</t>
      </text>
    </comment>
    <comment authorId="0" ref="X11">
      <text>
        <t xml:space="preserve">МОБ+ - ДЕЛАЕТ ВРУМ ВРУМ В КОЛЕСЕ ИЗ ЕШКИ</t>
      </text>
    </comment>
    <comment authorId="0" ref="E12">
      <text>
        <t xml:space="preserve">РОТАЦИЯ:
ЕШКА - 18 УДАРОВ - УЛЬТА</t>
      </text>
    </comment>
    <comment authorId="0" ref="G12">
      <text>
        <t xml:space="preserve">ЕШКА - ЗАРЯЖЕННАЯ - 18 УДАРОВ - УЛЬТА</t>
      </text>
    </comment>
    <comment authorId="0" ref="T12">
      <text>
        <t xml:space="preserve">ГЕНЕРИРУЕТ 1 ЧАСТИЦУ С ЕШКИ ЗА УДАРЫ. НО ТАМ ЛИМИТ В 1 ЧАСТИЦУ В 2 сек. ИЗ-ЗА ЧЕГО МЫ УСПЕВАЕМ ТОЛЬКО 5 ЧАСТИЦ СДЕЛАТЬ</t>
      </text>
    </comment>
    <comment authorId="0" ref="U12">
      <text>
        <t xml:space="preserve">РОТАЦИЯ:
ЕШКА - ЗАРЯЖЕННАЯ - 18 УДАРОВ - УЛЬТА
☘️☘️☘️
ЕШКА - 1 СС
ЗАРЯЖЕННАЯ - 1 СС
УДАРЫ 18 РАЗ - 9 СС (СТАНДАРТНЫЙ ЛИМИТ)(И УДАРОВ РЕАЛЬНО ТАМ 24)
---
ЕШКА РЫВОК - 3 СС (1 СС ЗА ЗАЛП)
---
УЛЬТА - 2 СС(5 УДАРОВ, НО ЛИМИТЫ МЕШАЮТ)
РОТАЦИЯ: 16 СС</t>
      </text>
    </comment>
    <comment authorId="0" ref="W12">
      <text>
        <t xml:space="preserve">ВО ВРЕМЯ КАСТА ЕШКИ
В ЕШКЕ СТОЙКОСТИ НЕТ!</t>
      </text>
    </comment>
    <comment authorId="0" ref="X12">
      <text>
        <t xml:space="preserve">УЛЬТА ФИКСИРУЕТ БАФФЫ ПРИ НАЖАТИИ УЛЬТЫ
МОБ+ - ВО ВРЕМЯ ЕШКИ ЛЕТАЕТ КАК ЧЁРТ!)</t>
      </text>
    </comment>
    <comment authorId="0" ref="E13">
      <text>
        <t xml:space="preserve">РОТАЦИЯ:
ЕШКА - УЛЬТА</t>
      </text>
    </comment>
    <comment authorId="0" ref="G13">
      <text>
        <t xml:space="preserve">РОТАЦИЯ:
ЕШКА - УЛЬТА
(ЕШКУ НАЖИМАЕТ 3 РАЗА)</t>
      </text>
    </comment>
    <comment authorId="0" ref="Q13">
      <text>
        <t xml:space="preserve">П1. ЕШКА ДАЁТ 4% ШК В ПРЫЖКИ ПРИ ПОПАДАНИИ ПО ВРАГУ. МАКС 10% ШК
П2. ДАЁТ БАФФ НА БАЗОВЫЙ УРОН ПРЫЖКОВ ПОД УЛЬТОЙ:
4000 СА = 8000 БУ В ПРЫЖКИ
3500 СА = 7000 БУ В ПРЫЖКИ
3000 СА = 6000 БУ В ПРЫЖКИ
СА - СИЛА АТАКИ
БУ - БАЗОВЫЙ УРОН</t>
      </text>
    </comment>
    <comment authorId="0" ref="R13">
      <text>
        <t xml:space="preserve">АКТИВАЦИЯ УЛЬТЫ ХИЛИТ ВСЕХ НА 6.8к
ЗАТЕМ КАЖДЫЕ 2 сек. МЫ ПОЛУЧАЕМ 3.2к ВСЕМ, А ЭТО
ЗНАЧИТ 8 ТИКОВ.
102к ВСЕМ + 27к ВСЕМ = 130к
</t>
      </text>
    </comment>
    <comment authorId="0" ref="T13">
      <text>
        <t xml:space="preserve">ЕШКА ДАЁТ - 5 ЧАСТИЦ</t>
      </text>
    </comment>
    <comment authorId="0" ref="U13">
      <text>
        <t xml:space="preserve">РОТАЦИЯ:
ЕШКА - УЛЬТ
☘️☘️☘️
ЕШКА - 1 СС (КАСАНИЕ НЕ НАНОСИТ СС)
УЛЬТА АКТИВАЦИЯ - 1 СС
УЛЬТА КАРМАН 6 РАЗ - 6 СС
РОТАЦИЯ: 8 СС</t>
      </text>
    </comment>
    <comment authorId="0" ref="X13">
      <text>
        <t xml:space="preserve">МОБ + - ЕШКА ПРЫГАЕТ ПО ЛАНШАФТУ. ТАК ЖЕ ЕСТЬ П3. КОТОРАЯ ДЕЛАЕТ ПОЛЁТ БЫСТРЕЙ!</t>
      </text>
    </comment>
    <comment authorId="0" ref="E14">
      <text>
        <t xml:space="preserve">РОТАЦИЯ:
ЕШКА х 2 - УЛЬТА - 6 ПРЫЖКОВ</t>
      </text>
    </comment>
    <comment authorId="0" ref="G14">
      <text>
        <t xml:space="preserve">РОТАЦИЯ:
ЕШКА х 2 - УЛЬТА - 9 ПРЫЖКОВ</t>
      </text>
    </comment>
    <comment authorId="0" ref="T14">
      <text>
        <t xml:space="preserve">6 - ЗА 2 ЕШКИ
3 - ЗА ОДНУ ЕШКУ</t>
      </text>
    </comment>
    <comment authorId="0" ref="U14">
      <text>
        <t xml:space="preserve">РОТАЦИЯ:
ЕШКА х 2 - УЛЬТА - 6 ПРЫЖКОВ
☘️☘️☘️
ЕШКА 2 РАЗА - 2 СС
ПРЫЖКИ 6 РАЗ - 6 СС
РОТАЦИЯ: 8 СС</t>
      </text>
    </comment>
    <comment authorId="0" ref="W14">
      <text>
        <t xml:space="preserve">ВО ВРЕМЯ УЛЬТЫ</t>
      </text>
    </comment>
    <comment authorId="0" ref="X14">
      <text>
        <t xml:space="preserve">МОБ - ЕШКАМИ ДЕЛАЕТ РЫВОК. ТАК ЖЕ МОЖНО В ВОЗДУХЕ</t>
      </text>
    </comment>
    <comment authorId="0" ref="E15">
      <text>
        <t xml:space="preserve">РОТАЦИЯ:
ЕШКА - УЛЬТА</t>
      </text>
    </comment>
    <comment authorId="0" ref="Q15">
      <text>
        <t xml:space="preserve">УЛЬТА ДАЁТ ПРИ КАСАНИИ С СОЮЗНИКОМ 38,3% 💨 АФФИКСА
НА 13 ЛВЛ \ 32,4% НА 10 ЛВЛ
БАФФ ДЛИТЬСЯ 4 сек.
ОБВАЛ С УЛЬТЫ РЕЖЕТ 30% 💨 РЕЗИСТА ПОСЛЕ КАСАНИЯ
БАФФ ДЛИТЬСЯ 4 сек.
П2. ДАЁТ БАЗОВЫЙ УРОН ДЛЯ ЛЮБОГО УДАРА ПОД БАФФОМ УЛЬТЫ. РАБОТАЕТ ОН 1 РАЗ ЗА КАСАНИЕ, КАСАНИЙ МОЖЕТ БЫТЬ МНОГО!
БАФФ ЗАВИСИТ ОТ БА ФАРКИ
871 БА = 271 БУ ПЕРСУ
805 БА = 258 БУ ПЕРСУ
651 БА = 208 БУ ПЕРСУ
С6. ДАЁТ 40 АНЕМО КРИТ УРОНА ПОД БАФФОМ УЛЬТЫ!
БА - БАЗОВАЯ АТАКА
БУ - БАЗОВЫЙ УРОН</t>
      </text>
    </comment>
    <comment authorId="0" ref="T15">
      <text>
        <t xml:space="preserve">ОБВАЛ ДАЁТ 2 ЧАСТИЦЫ (НО КД В 5.5 сек) ИЗ-ЗА ЧЕГО ОБВАЛ ДАСТ ЧАСТИЦЫ ТОЛЬКО 3 РАЗА
ЗА СЧЁТ С4 ОБВАЛ ДАЁТ 2Е КАЖДЫЙ РАЗ, ОБВАЛ БУДЕТ АКТИВИРОВАТЬСЯ 7 РАЗ.
ЧТО ДАСТ 14Е ДЛЯ ФАРУЗАН СТАБИЛЬНО!</t>
      </text>
    </comment>
    <comment authorId="0" ref="U15">
      <text>
        <t xml:space="preserve">РОТАЦИЯ:
ЕШКА - УЛЬТА
☘️☘️☘️
ЕШКА - 1 СС
УЛЬТА - 1 СС
ЕШКА КАРМАН 7 РАЗ - 7 СС
РОТАЦИЯ: 9 СС</t>
      </text>
    </comment>
    <comment authorId="0" ref="E16">
      <text>
        <t xml:space="preserve">РОТАЦИЯ:
УЛЬТА - ЕШКА</t>
      </text>
    </comment>
    <comment authorId="0" ref="G16">
      <text>
        <t xml:space="preserve">РОТАЦИЯ:
УЛЬТА - ЕШКА ДОЛГАЯ</t>
      </text>
    </comment>
    <comment authorId="0" ref="J16">
      <text>
        <t xml:space="preserve">НА САМОМ ДЕЛЕ ПОКА ЕШКА ЗАРЯДИТСЯ, ТО БОЛЬШЕ ПРОЙДЁТ ВРЕМЕНИ. ВЕДЬ БЕЗ РЕАКЦИЙ СТАКИ ЕШКИ НАБИРАЮТСЯ МЕДЛЕННО</t>
      </text>
    </comment>
    <comment authorId="0" ref="L16">
      <text>
        <t xml:space="preserve">РОТАЦИЯ КАК ВСЕГДА У АНЕМО КАТАЛИК ДРАЙВЕРА ДОЛГАЯ И НАХОДИТСЯ ПО ССЫЛКЕ!</t>
      </text>
    </comment>
    <comment authorId="0" ref="Q16">
      <text>
        <t xml:space="preserve">П2. ДАЁТ 80 МС ПОСЛЕ ЕШКИ, ВСЕМ КРОМЕ СЕБЯ! НА 10 сек.</t>
      </text>
    </comment>
    <comment authorId="0" ref="T16">
      <text>
        <t xml:space="preserve">2 - БЫСТРАЯ ОДНА ЕШКА 
(3) - ФУЛЛ ОДНА ЕШКА
4(6) - ЭТО ДВЕ ЕШКИ ЗА РОТАЦИЮ!
10Е - ДАЁТ С4</t>
      </text>
    </comment>
    <comment authorId="0" ref="U16">
      <text>
        <t xml:space="preserve">РОТАЦИЯ:
☘️☘️☘️
УДАР - УЛЬТА - 2 УДАРА - ЗАРЯЖЕННАЯ - ЕШКА - 2 УДАРА - ЗАРЯЖЕННАЯ
ЕШКА - 2 СС
УЛЬТА - 2 СС (1 АНЕМО\1 ПОГЛ.💧)
УДАРЫ - 3 СС (УДАРОВ 5, НО ЛИМИТЫ)
ЗАРЯЖЕННАЯ - 2 СС (ОТКАТА НЕТ!)
РОТАЦИЯ: 9 СС</t>
      </text>
    </comment>
    <comment authorId="0" ref="E17">
      <text>
        <t xml:space="preserve">РОТАЦИЯ:
ЕШКА - 4 ЗАРЯЖЕНЫЕ НА ФУЛЛ</t>
      </text>
    </comment>
    <comment authorId="0" ref="G17">
      <text>
        <t xml:space="preserve">РОТАЦИЯ:
ЕШКА - 4 ЗАРЯЖЕНЫЕ НА ФУЛЛ - УЛЬТА</t>
      </text>
    </comment>
    <comment authorId="0" ref="T17">
      <text>
        <t xml:space="preserve">ПЕРВЫЙ ВЫСТРЕЛ В ЕШКЕ СРАЗУ ДАЁТ 5 ЧАСТИЦ</t>
      </text>
    </comment>
    <comment authorId="0" ref="U17">
      <text>
        <t xml:space="preserve">РОТАЦИЯ:
ЕШКА - 4 ЗАРЯЖЕНЫЕ НА ФУЛЛ - УЛЬТА
☘️☘️☘️
ЕШКА НАЖАТИЕ - 1 СС
---
ЗАРЯЖЕННЫЕ - 12 СС (УДАРОВ 24 ПО ФАКТУ! НО КАК ВСЕГДА ВСЁ СЛОЖНО...)
(КАЖДЫЙ ВЫСТРЕЛ АКТИВИРУЕТ 1 РЕАКЦИЮ ОБЫЧНУЮ🔥 И 1 РАССЕИВАНИЕ💨)
(ТО ЕСТЬ 4 СС АНЕМО И 8 СС ЦВЕТНЫХ💧 РЕАКЦИЙ)
---
УЛЬТА - 2 СС (УДАРОВ 7 НО, 
ДА-ДА ЛИМИТЫ)
(ПО ИДЕЕ ТАМ КАК АНЕМО ПРОКАЕТ, ТАК И ДРУГИЕ СТИХИИ)
(НО ПО ФАКТУ УЛЬТА ПРОКАЕТ ОДНУ ЦВЕТНУЮ❄️ РЕАКЦИЮ)(ИНОГДА РАССЕИВАНИЕ💨)(ТО ЕСТЬ 1СС💨\1СС⚡️)
---
ПРИКРЫТИЕ П2. - 1 СС
РОТАЦИЯ: 12 СС
</t>
      </text>
    </comment>
    <comment authorId="0" ref="W17">
      <text>
        <t xml:space="preserve">ВО ВРЕМЯ ЕШКИ</t>
      </text>
    </comment>
    <comment authorId="0" ref="X17">
      <text>
        <t xml:space="preserve">БЕЗУПРЕЧНО ЛЕТАЕТ В МИРЕ В СВОЕЙ ЕШКЕ. КОРОЧЕ ЛЮТАЯ ИМБА В ПЕРЕМЕЩЕНИИ.
А В БОЮ ЕЁ ДАЖЕ ДОСТАТЬ НИКТО НЕ МОЖЕТ...</t>
      </text>
    </comment>
    <comment authorId="0" ref="Q18">
      <text>
        <t xml:space="preserve">П2. ДАЁТ 100 МС АКТИВНОМУ ПЕРСОНАЖУ НА 6 сек. ЕСЛИ БЫ ХИЛЛ ВЫШЕ 70% ХП
С6 ДАЁТ 5 ШК и 40 КУ ВСЕМ НОДОВЦАМ В КОМАНДЕ, ПОСЛЕ ПОГЛОЩЕНИЯ СТИХИИ ЕШКОЙ</t>
      </text>
    </comment>
    <comment authorId="0" ref="R18">
      <text>
        <t xml:space="preserve">7к ХИЛЛ АКТИВНОМУ 8 РАЗ
2,7к ХИЛЛ У КОГО МЕНЬШЕ ХП 8 РАЗ
ВООБЩЕ ХИЛЛ 3,5к РАБОТАЕТ ТОЛЬКО ЕСЛИ ХП У АКТИВНОГО ВЫШЕ 70%, НУ ЭТО БУДЕТ ПОЧТИ ВСЕГДА!
А ЗНАЧИТ ВСЕГО 78к ХП
И ЭТО ДАЖЕ БЕЗ БОН. ЛЕЧЕНИЯ В КОРОНКЕ! ТО ЕСТЬ ДАЛЕКО НЕ ЛИМИТ!</t>
      </text>
    </comment>
    <comment authorId="0" ref="T18">
      <text>
        <t xml:space="preserve">4 - ЧАСТИЦЫ ДАЁТ ЕШКА ПОСЛЕ УДАРА ФИНАЛЬНОГО!</t>
      </text>
    </comment>
    <comment authorId="0" ref="U18">
      <text>
        <t xml:space="preserve">РОТАЦИЯ:
ДОЛГАЯ ЕШКА - УЛЬТА
☘️☘️☘️
ЕШКА ВЗРЫВ - 1 СС
ЕШКА КАРМАН⚡️ - 12 СС
(ВСЕГО УДАРОВ БУДЕТ 15)
(НО В РЕАЛЬНОСТИ 5 УДАРОВ ЭТО ОТ С1, КОТОРЫЕ ЧЕРЕЗ РАЗ ПРОКАЮТ)(А ТАК ЛИМИТЫ НЕ МАШАЮТ!) 
---
УЛЬТА НАЖАТИЕ - 1 СС
УЛЬТА КАРМАН - 4 СС(ВСЕГО 12 УДАРОВ В⚡️, НО ЛИМИТЫ)
РОТАЦИЯ:  18 СС (2 СС АНЕМО / 16СС ЭЛЕКТРО⚡️)</t>
      </text>
    </comment>
    <comment authorId="0" ref="W18">
      <text>
        <t xml:space="preserve">ВО ВРЕМЯ БЕГА В ЕШКЕ ПРЕРВАТЬ ТЯЖЕЛЕЕ</t>
      </text>
    </comment>
    <comment authorId="0" ref="X18">
      <text>
        <t xml:space="preserve"> В ЕШКЕ БЫСТРЕЙ БЕГАЕТ</t>
      </text>
    </comment>
    <comment authorId="0" ref="E19">
      <text>
        <t xml:space="preserve">РОТАЦИЯ:
ЕШКА</t>
      </text>
    </comment>
    <comment authorId="0" ref="G19">
      <text>
        <t xml:space="preserve">РОТАЦИЯ:
ЕШКА - УЛЬТА</t>
      </text>
    </comment>
    <comment authorId="0" ref="Q19">
      <text>
        <t xml:space="preserve">П2. УЛЬТ ДАЁТ 125 МС НА 12 сек.</t>
      </text>
    </comment>
    <comment authorId="0" ref="S19">
      <text>
        <t xml:space="preserve">АЛЬБЕДО ПОСТОЯННО СОЗДАЁТ КРИСТАЛЛЫ! ИЗ-ЗА ЧЕГО ПРЯМ СРЕДНЕЕ КОЛИЧЕСТВО ОПРЕДЕЛИТЬ НЕВОЗМОЖНО!
НО УЧИТЫВАЯ, ЧТО ОН С УЛЬТЫ ИХ ЕЩЁ И РАЗГОНЯЕТ. ТО В ЦЕЛОМ 8к ЩИТА АКТИВНЫЙ ПЕРС ПОЛУЧИТ</t>
      </text>
    </comment>
    <comment authorId="0" ref="T19">
      <text>
        <t xml:space="preserve">ЕШКА КАЖДЫМ УДАРОМ ДЕЛАЕТ 0.67 ЧАСТИЦ. ЧТО НА 10 УДАРОВ ГЕНЕРИРУЕТ СТАБИЛЬНО 6-7 ЧАСТИЦ</t>
      </text>
    </comment>
    <comment authorId="0" ref="U19">
      <text>
        <t xml:space="preserve">РОТАЦИЯ:
ЕШКА - УЛЬТА
☘️☘️☘️
ЕШКА 10 УДАРОВ - 10 СС
УЛЬТА НАЖАТИЕ - 1 СС
УЛЬТА ЦВЕТКИ 7 РАЗ - 3 СС(УДАРОВ МНОГО, НО КАК ВСЕГДА ЛИМИТЫ!)
РОТАЦИЯ: 14 СС
</t>
      </text>
    </comment>
    <comment authorId="0" ref="X19">
      <text>
        <t xml:space="preserve">20 сек Р. - РОТАЦИЯ АЛЬБЕДО В РАМКАХ ТАБЛИЦЫ ДЛИТСЯ 20 СЕКУНД
СНШОТ - ЕШКА ФИКСИРУЕТ БАФФЫ ПРИ ПОЯВЛЕНИИ
ПЕРСОНАЖ ШАБАША</t>
      </text>
    </comment>
    <comment authorId="0" ref="E20">
      <text>
        <t xml:space="preserve">РОТАЦИЯ:
ЕШКА - УЛЬТА</t>
      </text>
    </comment>
    <comment authorId="0" ref="Q20">
      <text>
        <t xml:space="preserve">С1. ДАЁТ 10% ШК ДЛЯ ВСЕХ ПЕРСОНАЖЕЙ ВНУТРИ УЛЬТЫ
ОБЛАСТЬ ОГРОМНАЯ! ЕСЛИ ОДНА СТЕНКА СЛОМАЕТСЯ, БАФФ НЕ ПРОПАДЁТ!</t>
      </text>
    </comment>
    <comment authorId="0" ref="S20">
      <text>
        <t xml:space="preserve">МЫ СОЗДАЁМ НЕ ТАК УЖ МНОГО КРИСТАЛЛОВ. ПОЭТОМУ ОСОБО РАССЧИТЫВАТЬ НЕ НАДО!</t>
      </text>
    </comment>
    <comment authorId="0" ref="T20">
      <text>
        <t xml:space="preserve">3,3 - ЭТО КОЛИЧЕСТВО ЧАСТИЦ ПРИ УДАРЕ ОДНОЙ ЕШКИ. ДАЖЕ ЕСЛИ СТЕЛЛА СЛОМАЕТСЯ. МЫ ВСЁ РАВНО ЧАСТИЦЫ ПОЛУЧИ!
ЗА ДВЕ ЕШКИ, МЫ СТАБИЛЬНО ПОЛУЧИМ 7 ЧАСТИЦ! ЭТО ОЧЕНЬ МНОГО!</t>
      </text>
    </comment>
    <comment authorId="0" ref="U20">
      <text>
        <t xml:space="preserve">РОТАЦИЯ:
ЕШКА - УЛЬТА
☘️☘️☘️
ЕШКА - 2 СС(ИНОГДА ВЗРЫВ ЕЩЁ ЦЕПЛЯЕТ ВРАГА, А ЭТО ЕЩЁ 2 СС)
---
УЛЬТА - 8 СС (УДАРОВ 4, И КАЖДЫЙ БЬЁТ ПО 2 СС)(КРИСТАЛЛА СОЗДАСТ 2)
РОТАЦИЯ: 10 СС</t>
      </text>
    </comment>
    <comment authorId="0" ref="W20">
      <text>
        <t xml:space="preserve">БАФФ ВО ВРЕМЯ УЛЬТЫ НА С1</t>
      </text>
    </comment>
    <comment authorId="0" ref="E21">
      <text>
        <t xml:space="preserve">РОТАЦИЯ:
ЕШКА - УЛЬТА
НА САМОМ ДЕЛЕ ЕШКА КД 10 сек. ПОЭТОМУ КАК БЫ МОЖНО И ДВА РАЗА НАЖАТЬ ЗА РОТАЦИЮ</t>
      </text>
    </comment>
    <comment authorId="0" ref="Q21">
      <text>
        <t xml:space="preserve">ЕШКА ДАЁТ 15% ГЕО АФФИКСА, А ТАК ЖЕ ЗАЩИТУ АКТИВНОМУ ПЕРСОНАЖУ.
10 ЛВЛ\13 ЛВЛ = 371\438 ЗЩ.
БАФФ ДЛИТЬСЯ ЕЩЁ 1,5 сек. ПОСЛЕ ТОГО КАК ПЕРСОНАЖ ПОКИНЕТ ОБЛАСТЬ!
С6. УЛЬТ ДАЁТ 40% ГЕО КРИТ. УРОНА ВСЕМ НА 12 сек.
⛔️ОЧЕНЬ ВАЖНО! ВСЕМ!!!
НЕ ТОЛЬКО ПЕРСОНАЖУ В ОБЛАСТИ!⛔️</t>
      </text>
    </comment>
    <comment authorId="0" ref="R21">
      <text>
        <t xml:space="preserve">С4 ХИЛИТ ЗА 1 ТИК УЛЬТЫ 800ХП АКТИВНОМУ, А ТИКОВ 8
ЧТО КАК БЫ 6.4к
НО ТАМ ПОД ЕШКА ПЕРВЫЙ ТИК БУДЕТ СИЛЬНЕЙ. ЧТО ДАСТ НАШИ ЗАВЕТНЫЕ 7к</t>
      </text>
    </comment>
    <comment authorId="0" ref="S21">
      <text>
        <t xml:space="preserve">ЗА СЧЁТ УЛЬТЫ МЫ ПОСТОЯННО ПРИТЯГИВАЕМ КРИСТАЛЛЫ, ИЗ-ЗА ЧЕГО ЩИТ КРИСТАЛЬНЫЙ И НЕ СПАДАЕТ!</t>
      </text>
    </comment>
    <comment authorId="0" ref="T21">
      <text>
        <t xml:space="preserve">ЕШКА - 2 ЧАСТИЦЫ</t>
      </text>
    </comment>
    <comment authorId="0" ref="U21">
      <text>
        <t xml:space="preserve">РОТАЦИЯ:
ЕШКА - УЛЬТА
☘️☘️☘️
ЕШКА - 1 СС
УЛЬТА НАЖАТИЕ - 1 СС
ЕШКА КАРМАН 8 УДАРОВ - 8 СС
РОТАЦИЯ: 10 СС</t>
      </text>
    </comment>
    <comment authorId="0" ref="W21">
      <text>
        <t xml:space="preserve">БАФФ ЕШКИ\УЛЬТЫ</t>
      </text>
    </comment>
    <comment authorId="0" ref="X21">
      <text>
        <t xml:space="preserve">ПРИТ.💎 - ПЕРСОНАЖ МОЖЕТ ПРИТЯГИВАТЬ КРИСТАЛЛЫ УЛЬТОЙ
СТК+ - УВЕЛИЧИВАЕТ ЗАЩИТУ АКТИВНОГО ПЕРСОНАЖА + ПОВЫШАЕТ СТОЙКОСТЬ К УДАРАМ. (С БАФФА ЕШКИ)</t>
      </text>
    </comment>
    <comment authorId="0" ref="E22">
      <text>
        <t xml:space="preserve">РОТАЦИЯ:
УЛЬТА - ЕШКА - ЗАРЯЖЕННЫЕ 6 РАЗ - УДАРЫ  3 - ЗАРЯЖЕННЫЕ 5 - ЕШКА</t>
      </text>
    </comment>
    <comment authorId="0" ref="G22">
      <text>
        <t xml:space="preserve">РОТАЦИЯ:
УЛЬТА - ЕШКА - 3 УДАРА - ЗАРЯЖЕННАЯ 5 УДАРОВ - 3 УДАРА - ЗАРЯЖЕННАЯ 4 УДАРА - ЕШКА</t>
      </text>
    </comment>
    <comment authorId="0" ref="S22">
      <text>
        <t xml:space="preserve">ИТТО ПОСТОЯННО СОЗДАЁТ КРИСТАЛЛЫ. НО ПОЛУЧИТСЯ ЛИ ПОДНЯТЬ ИМЕННО ЕГО КРИСТАЛЛ? ВОТ ЭТО УЖЕ СПОРНО... ТА И БУДЕТ ЛИ КРИСТАЛЛ?</t>
      </text>
    </comment>
    <comment authorId="0" ref="T22">
      <text>
        <t xml:space="preserve">ЕШКА ДАЁТ 3.5 ЧАСТИЦЫ
ДВЕ ЕШКИ - 7 ЧАСТИЦ</t>
      </text>
    </comment>
    <comment authorId="0" ref="U22">
      <text>
        <t xml:space="preserve">РОТАЦИЯ:
УЛЬТА - ЕШКА - (3 УДАРА - ЗАРЯЖЕННАЯ 5 УДАРОВ) х2 - ЕШКА
☘️☘️☘️
ЕШКА 2 РАЗА - 2 СС
УДАРЫ 6 РАЗ - 6 СС (ЛИМИТЫ НЕ МЕШАЮТ)
---
ЗАРЯЖЕННЫЕ 10 РАЗ - 5 СС (А ТУТ УЖЕ ЛИМИТЫ МЕШАЮТ)
РОТАЦИЯ: 13 СС</t>
      </text>
    </comment>
    <comment authorId="0" ref="W22">
      <text>
        <t xml:space="preserve">ВО ВРЕМЯ КАСТА ЗАРЯЖЕННОЙ</t>
      </text>
    </comment>
    <comment authorId="0" ref="X22">
      <text>
        <t xml:space="preserve">УЛЬТА ФИКСИРУЕТ СА ИЗ 
ЗАЩИТЫ В МОМЕНТ НАЖАТИЯ. ПОДАЛЬШАЯ СА В ЗАЩИТУ НЕ КОНВЕРТИРУЕТСЯ!</t>
      </text>
    </comment>
    <comment authorId="0" ref="E23">
      <text>
        <t xml:space="preserve">РОТАЦИЯ:
ЕШКА - УЛЬТА</t>
      </text>
    </comment>
    <comment authorId="0" ref="G23">
      <text>
        <t xml:space="preserve">РОТАЦИЯ:
УЛЬТА - ЕШКА - 6 УДАРОВ
ЗА СЧЁТ С2 МОЖЕТ БЫТЬ 8 сек. РОТАЦИЯ! А ЗНАЧИТ И УДАРОВ НА 2 БОЛЬШЕ</t>
      </text>
    </comment>
    <comment authorId="0" ref="Q23">
      <text>
        <t xml:space="preserve">С4. УЛЬТ ДАЁТ 8%/12%/16%/20% ЗАЩИТЫ АКТИНОМУ ПЕРСУ, ЗА КАЖДОГО 1\2\3\4 ВРАГА ВНУТРИ ОБЛАСТИ</t>
      </text>
    </comment>
    <comment authorId="0" ref="S23">
      <text>
        <t xml:space="preserve">НА САМОМ ДЕЛЕ, ДОСТАТОЧНО НЕ ПЛОХО СОЗДАЁТ КРИСТАЛЛЫ. УЧИТЫВАЯ КАК ЧАСТО ОНА ЗАДЕВАЕТ ПРОТИВНИКА. Я БЫ ДАЖЕ СКАЗАЛ, ЭТО УРОВЕНЬ АЛЬБЕДО! НО ЕШКА К СОЖАЛЕНИЮ НЕ БЕСКОНЕЧНАЯ</t>
      </text>
    </comment>
    <comment authorId="0" ref="T23">
      <text>
        <t xml:space="preserve">КАЖДЫЙ УДАР ЕШКИ ДАЁТ 0.66 ЧАСТИЦ
УДАРОВ ВСЕГДА 8 БУДЕТ, А ЗНАЧИТ 5 ЧАСТИЦЫ ЗА РОТАЦИЮ!</t>
      </text>
    </comment>
    <comment authorId="0" ref="U23">
      <text>
        <t xml:space="preserve">РОТАЦИЯ:
ЕШКА - УЛЬТА
☘️☘️☘️
ЕШКА 8 УДАРОВ(ЛЮБАЯ) - 8 СС
УЛЬТА - 1 СС
С6 2 УДАРА - 2 СС
РОТАЦИЯ: 11 СС</t>
      </text>
    </comment>
    <comment authorId="0" ref="W23">
      <text>
        <t xml:space="preserve">НА ДРЕЛЕ!</t>
      </text>
    </comment>
    <comment authorId="0" ref="X23">
      <text>
        <t xml:space="preserve">МОБ - В ЕШКЕ БЫСТРО ЕЗДИТ ПО МИРУ И ЛАЗИТ ПО СТЕНКАМ</t>
      </text>
    </comment>
    <comment authorId="0" ref="E24">
      <text>
        <t xml:space="preserve">РОТАЦИЯ:
УЛЬТА - ЕШКА - 3 УДАРА - ЕШКА</t>
      </text>
    </comment>
    <comment authorId="0" ref="G24">
      <text>
        <t xml:space="preserve">РОТАЦИЯ:
УЛЬТА - (ЕШКА - 3 УДАРА - ШИФТ - 2 УДАРА) х2</t>
      </text>
    </comment>
    <comment authorId="0" ref="S24">
      <text>
        <t xml:space="preserve">1 КРИСТАЛЛ = 1к
НАВИЯ ПОСТОЯННО ЛОВИТ КРИСТАЛЛЫ. В СРЕДНЕМ ЭТО 7 ШТУК ЗА РОТАЦИЮ. ПЛЮС НЕ ЗАБЫВАЙТЕ ОНИ НЕ СУММИРУЮТСЯ</t>
      </text>
    </comment>
    <comment authorId="0" ref="T24">
      <text>
        <t xml:space="preserve">ЕШКА ДАЁТ - 3,5 ЧАСТИЦЫ
ЕШКИ 2 СТАБИЛЬНО ЗА РОТАЦИЮ!</t>
      </text>
    </comment>
    <comment authorId="0" ref="U24">
      <text>
        <t xml:space="preserve">РОТАЦИЯ⌛:
УЛЬТА - (ЕШКА \ 3 УДАРА \ ДЭШ \ 2 УДАРА) х2
☘️☘️☘️
УЛЬТА АКТИВАЦИЯ - 2 СС
---
УЛЬТА КАРМАН - 3 СС (ЛИМИТ! 3 СС, ХОТЬ И УДАРОВ 12)
---
ЕШКА 2 РАЗА - 2 СС
УДАРЫ 10 РАЗ - 6  СС
РОТАЦИЯ: 13 СС
</t>
      </text>
    </comment>
    <comment authorId="0" ref="X24">
      <text>
        <t xml:space="preserve">ПРИТ.💎 - ПЕРСОНАЖ МОЖЕТ ПРИТЯГИВАТЬ КРИСТАЛЛЫ ЕШКОЙ</t>
      </text>
    </comment>
    <comment authorId="0" ref="E25">
      <text>
        <t xml:space="preserve">РОТАЦИЯ:
ЕШКА - УЛЬТА - ЕШКА</t>
      </text>
    </comment>
    <comment authorId="0" ref="G25">
      <text>
        <t xml:space="preserve">РОТАЦИЯ:
ЕШКА - УЛЬТА - ЗАРЯЖЕННАЯ - ЕШКА</t>
      </text>
    </comment>
    <comment authorId="0" ref="Q25">
      <text>
        <t xml:space="preserve">П2. ДАЁТ 12% ГЕО АФФИКСА ДЛЯ ПЕРСОНАЖА, КОТОРЫЙ ПРОЙДЁТ ЧЕРЕЗ ШИРМУ НА 12 сек.</t>
      </text>
    </comment>
    <comment authorId="0" ref="S25">
      <text>
        <t xml:space="preserve">КРИСТАЛЛЫ ТО ОНА СОЗДАТЬ МОЖЕТ. НО ВЫ МАКСИМУМ 2 ПОДНИМИТЕ, ЧТО И ДАСТ 2к ЩИТА</t>
      </text>
    </comment>
    <comment authorId="0" ref="T25">
      <text>
        <t xml:space="preserve">ЕШКА ДАЁТ 3,3 ЧАСТИЦЫ
НО ВТОРАЯ ЕШКА С С2 НАМ НЕ ДАСТ ЧАСТИЦ. ПОТОМУ ЧТО МЫ МОЖЕМ ПОЛУЧИТЬ 3.3 ЧАСТИЦЫ РАЗ В 6 сек. ТО ЕСТЬ С2 ФИЗИЧЕСКИ НЕ УСПЕВАЕТ В ТАЙМИНГ</t>
      </text>
    </comment>
    <comment authorId="0" ref="U25">
      <text>
        <t xml:space="preserve">РОТАЦИЯ:
ЕШКА - УДАР - УЛЬТА - ЗАРЯЖЕННАЯ - ЕШКА
☘️☘️☘️
ЕШКА 2 РАЗА - 2 СС
УДАР - 2 СС
УЛЬТА 11 УДАРОВ - 3 СС (ЛИМИТЫ)
---
ЗАРАЖЕННАЯ - 3 СС (8 УДАРОВ, НО ЛИМИТЫ)
РОТАЦИЯ: 10 СС</t>
      </text>
    </comment>
    <comment authorId="0" ref="E26">
      <text>
        <t xml:space="preserve">РОТАЦИЯ:
ЕШКА</t>
      </text>
    </comment>
    <comment authorId="0" ref="G26">
      <text>
        <t xml:space="preserve">РОТАЦИЯ:
ЕШКА - УЛЬТА - СЕРИЯ УДАРОВ
ЗА СЧЁТ УЛЬТЫ ВЫ МОЖЕТЕ СТОЯТЬ ОЧЕНЬ ДОЛГО И БИТЬ. КАК ИМЕННО ВЫ ТАМ БИТЬ БУДЕТЕ. НЕ ТАК ВАЖНО. ХОТЯ ПРИНЯТО, ЧТО 4 УДАР НЕ ДЕЛАЮТ, ПОТОМУ ЧТО ОН СЛИШКОМ МЕДЛЕННЫЙ</t>
      </text>
    </comment>
    <comment authorId="0" ref="L26">
      <text>
        <t xml:space="preserve">НА НОЭЛЛЬ НЕЭФФЕКТИВНО СТОЯТЬ 20 сек. ВЕДЬ КОГДА ЩИТА НЕТ, ТО НЕ РАБОТАЕТ ХИЛ, А ЗНАЧИТ ФУРИНЕ УЖЕ БУДЕТ ПЛОХО. ПОЭТОМУ МЫ СТОИМ НА ПОЛЕ, ПОКА ЕСТЬ НАШ ЩИТ. ПОЭТОМУ РОТАЦИЯ НОЭЛЛЬ ПРИМЕРНО БУДЕТ 12-13 сек.
ДА, МОЖНО ПЕРЕКЛЮЧАТЬСЯ МЕЖДУ ДЕЛОМ НА ШИЛОНЕН И СЕБЕ ЗАЛИВАТЬ ЧАСТИЦЫ. ВСЁ РАВНО 12 УДАРОВ МЫ СДЕЛАТЬ УСПЕЕМ.
ХОТЬ И ПОСЛЕДНИЕ 3 УДАРА БЕЗ ЩИТА</t>
      </text>
    </comment>
    <comment authorId="0" ref="R26">
      <text>
        <t xml:space="preserve">НОЭЛЛЬ ХИЛИТ 1.2к ХП ЗА ОДИН УДАР ВСЕМ В УЛЬТЕ
УДАРОВ 12 = 14,4к КАЖДОМУ
СУММАРНО = 57,6к</t>
      </text>
    </comment>
    <comment authorId="0" ref="S26">
      <text>
        <t xml:space="preserve">КОГДА ОНА В ФУЛЛ ЗАЩ. ТО БУДЕТ 17к ЩИТ
КОГДА КАК ДД БЕЗ ГОРО, ТО БУДЕТ 15к ЩИТ
МЕДИАНА: 16к</t>
      </text>
    </comment>
    <comment authorId="0" ref="T26">
      <text>
        <t xml:space="preserve">ДА, У НОЭЛЛЬ 0 ИСТОЧНИКОВ ЭНЕРГИИ, А УЛЬТ СТОИТ 80Е
КОРОЧЕ УДАЧИ ЭТО ВСЁ НАБИРАТЬ...</t>
      </text>
    </comment>
    <comment authorId="0" ref="U26">
      <text>
        <t xml:space="preserve">РОТАЦИЯ:
ЕШКА - УЛЬТА - 
(3 УДАРА \ ДЭШ) х4
☘️☘️☘️
ЕШКА - 2 СС
С4 - 2 СС
УЛЬТА 2 УДАРА - 2 СС
12 УДАРОВ - 8 СС (ЛИМИТЫ)
РОТАЦИЯ: 14 СС</t>
      </text>
    </comment>
    <comment authorId="0" ref="X26">
      <text>
        <t xml:space="preserve">ВЫЖ+ - ДАЁТ ЩИТ ПРИ МАЛОМ ХП
УЛЬТА ФИКСИРУЕТ СА ИЗ ЗАЩИТЫ В МОМЕНТ НАЖАТИЯ. ПОДАЛЬШАЯ СА В ЗАЩИТУ НЕ КОНВЕРТИРУЕТСЯ!</t>
      </text>
    </comment>
    <comment authorId="0" ref="E27">
      <text>
        <t xml:space="preserve">РОТАЦИЯ:
ЕШКА - ЕШКА</t>
      </text>
    </comment>
    <comment authorId="0" ref="G27">
      <text>
        <t xml:space="preserve">РОТАЦИЯ:
УЛЬТА - ЕШКА - ЕШКА</t>
      </text>
    </comment>
    <comment authorId="0" ref="S27">
      <text>
        <t xml:space="preserve">ПОСТОЯННЫЙ ГЕО СТАТУС С КАРМАНА БЕЗ КРИСТАЛЛОВ НАС НЕ ОСТАВИТ. НО ЗАЧАСТУЮ ЕСТЬ И ДРУГИЕ ГЕО, КОТОРЫЕ ТОЖЕ НЕ СПЯТ. ПОЭТОМУ ПРЯМ ОТ НАС ОСОБО КРИСТАЛЛОВ ЖДАТЬ НЕ СТОИТ</t>
      </text>
    </comment>
    <comment authorId="0" ref="T27">
      <text>
        <t xml:space="preserve">КАЖДЫЙ УДАР КУКЛЫ ДАЁТ 1.2 ЧАСТИЦЫ, УДАРОВ КАК БЫ 10, НО ТОЛЬКО 1 КУКЛА МОЖЕТ ГЕНЕРИРОВАТЬ ЧАСТИЦЫ. ИЗ-ЗА ЧЕГО И ПОЛУЧАЕТСЯ 5 УДАРОВ ПО 1.2 ЧАСТИЦЫ</t>
      </text>
    </comment>
    <comment authorId="0" ref="U27">
      <text>
        <t xml:space="preserve">РОТАЦИЯ:
УЛЬТА - ЕШКА - ЕШКА
☘️☘️☘️
УЛЬТА - 2 СС
ЕШКА НАЖАТИЕ - 1 СС
КУКЛЫ 10 УДАРОВ - 4 СС (У ЕШКИ И КУКЛ, ОДНО КД)
---
СОВМЕСТННЫЙ УДАР - 1 СС (НА САМОМ ДЕЛЕ ТАКЖЕ ОБЩЕЕ КД С ЕШКОЙ И КУКЛОЙ. ПОЭТОМУ ТУТ КАК ПОВЕЗЁТ!)
РОТАЦИЯ: 8 СС</t>
      </text>
    </comment>
    <comment authorId="0" ref="W27">
      <text>
        <t xml:space="preserve">ВО ВРЕМЯ РЫВКА ЕШКИ</t>
      </text>
    </comment>
    <comment authorId="0" ref="X27">
      <text>
        <t xml:space="preserve">МОБ - БЫСТРЕЕ ПЕРЕМЕЩАЕШЬСЯ, ЕСЛИ ЕСТЬ СКИН НА КРЫЛЬЯ
МОБ - ТАК ЖЕ ДЕЛАЕТ БЫСТРЫЙ РЫВОК В ЛЮБОЕ НАПРАВЛЕНИЕ</t>
      </text>
    </comment>
    <comment authorId="0" ref="E28">
      <text>
        <t xml:space="preserve">РОТАЦИЯ:
ДОЛГАЯ ЕШКА</t>
      </text>
    </comment>
    <comment authorId="0" ref="G28">
      <text>
        <t xml:space="preserve">РОТАЦИЯ:
ДОЛГАЯ ЕШКА - УЛЬТА</t>
      </text>
    </comment>
    <comment authorId="0" ref="Q28">
      <text>
        <t xml:space="preserve">ЩИТ ОТ ЕШКИ РЕЖЕТ АБОЛЮСТНО ВСЕ 
РЕЗИСТЫ 🔥\💧\❄️\⚡️\☘️\💨\💎 НА 20%, ДАЖЕ ФИЗ.
КОГДА ЩИТ СПАДАЕТ, ПОРЕЗКА ПРОПАДАЕТ СРАЗУ!</t>
      </text>
    </comment>
    <comment authorId="0" ref="S28">
      <text>
        <t xml:space="preserve">У ДЕДА ЩИТ БЫВАЕТ ОООЧЕНЬ РАЗНЫЙ!
32к - ЭТО ПРЯМ ФУЛЛ ЩИТ!
28к - ЭТО БЕЗ ГЕО РЕЗОНАНСА
25к - ЭТО С ШК В КОРОНЕ
19к - ЭТО С АРХАИЧНЫМ И ШК В КОРОНЕ
16к - ЭТО ФУЛЛ УРОН \ АРХАИК
МЕДИАНА: 24к
</t>
      </text>
    </comment>
    <comment authorId="0" ref="T28">
      <text>
        <t xml:space="preserve">ЕШКА КАРМАН ДАЁТ ЗА КАЖДЫЙ ТИК 0.5 ЧАСТИЦ. 
В СРЕДНЕМ ЗА РОТАЦИЮ, СТЕЛЛА УДАРИТ 4 РАЗА. НУ КАК В СРЕДНЕМ...
НА САМОМ ДЕЛЕ У СТЕЛЛЫ С КАРМАНА ЕСТЬ ЛИМИТ. ИЗ-ЗА ЧЕГО ДВЕ СТЕЛЛЫ с С1 НЕ БУДУТ НАМ ДАВАТЬ БОЛЬШЕ ЧАСТИЦ...</t>
      </text>
    </comment>
    <comment authorId="0" ref="U28">
      <text>
        <t xml:space="preserve">РОТАЦИЯ:
ДОЛГАЯ ЕШКА - УЛЬТА
☘️☘️☘️
ЕШКА НАЖАТИЕ - 1 СС (ЕСЛИ БЫСТРО ПОСТАВИТЬ СТЕЛЛУ, ТО ОНА БУДЕТ 2 СС)
---
ЕШКА КАРМАН - 4 СС (4 УДАРА С КАРМАНА)
УЛЬТА - 4 СС
РОТАЦИЯ: 9 СС
У ЧЖУНА ЕСТЬ МЕХАНИКА, КОТОРАЯ НЕ ОПИСАНА В СТАТУСЕ, НО ОНА НАПРЯМУЮ ВЛИЯЕТ НА СС В ГЕО СТИХИИ.
КОРОЧЕ ПРИ НАЖАТИИ ДОЛГОЙ ЕШКИ, ДЖУН ВЫТЯГИВАЕТ ГЕО ЩИТЫ. ЧТО ПОЗВОЛЯЕТ ЛОМАТЬ ЛЮБОЙ ГЕО ЩИТ ЭФФЕКТИВНЕЙ ЛЮБОГО ДРУГОГО ГЕО! ХОТЬ И ГЕО СТАТУСА У ЕГО НЕМНОГО</t>
      </text>
    </comment>
    <comment authorId="0" ref="W28">
      <text>
        <t xml:space="preserve">ВО ВРЕМЯ КАСТА ЕШКИ</t>
      </text>
    </comment>
    <comment authorId="0" ref="X28">
      <text>
        <t xml:space="preserve">ЕШКА ФИКСИРУЕТ БАФФЫ ПРИ ПОЯВЛЕНИИ
МОБ - ПЕРЕМЕЩАЕТСЯ УДОБНЕЙ ПО МИРУ ЗА СЧЁТ СТЕЛЛ</t>
      </text>
    </comment>
    <comment authorId="0" ref="E29">
      <text>
        <t xml:space="preserve">РОТАЦИЯ:
ЕШКА - 2 УДАРА = 1.6 сек.
ЕСЛИ ПРИМЕНЯТЬ ВМЕСТЕ С УЛЬТОЙ:
ЕШКА - 2 УДАРА - УЛЬТА
ТО ПОЛУЧИТСЯ:  3 сек.
ТО ЕСТЬ АНИМАЦИЯ УЛЬТЫ 1.4 сек.</t>
      </text>
    </comment>
    <comment authorId="0" ref="G29">
      <text>
        <t xml:space="preserve">РОТАЦИЯ:
ЕШКА - 4 УДАРА х 3 - УЛЬТА</t>
      </text>
    </comment>
    <comment authorId="0" ref="J29">
      <text>
        <t xml:space="preserve">⛔️ШИЛОНЕН ЕДИНСТВЕННЫЙ ПЕРСОНАЖ, КОТОРОГО МЫ СМОТРИМ В ПАЧКЕ, ПОТОМУ ЧТО БЕЗ ПЕРСОНАЖЕЙ, ОНА ПЕРЕХОДИТ В ДД СТОЙКУ. ИЗ-ЗА ЧЕГО ЕЁ САП СТОЙКУ СЛОЖНО ПОСЧТИТАТЬ!⛔️</t>
      </text>
    </comment>
    <comment authorId="0" ref="Q29">
      <text>
        <t xml:space="preserve">ЕШКА РЕЖЕТ РЕЗИСТЫ СТИХИЙ 🔥\💧\❄️\⚡️\💎 КОТОРЫЕ В ПАЧКЕ. 
☘️ и 💨 ИСКЛЮЧЕНИЕ!
10 ЛВЛ \13 ЛВЛ
36% \ 45%
</t>
      </text>
    </comment>
    <comment authorId="0" ref="R29">
      <text>
        <t xml:space="preserve">В СРЕДНЕМ У НАС БУДЕТ 7к ЗА ТИК. ТИКОВ 8 В АКТИВНОГО ПЕРСОНАЖА</t>
      </text>
    </comment>
    <comment authorId="0" ref="S29">
      <text>
        <t xml:space="preserve">2 - ЭТО КРИСТАЛЛИЗАЦИЯ💎
ДАЁТ ПОНЯТНОЕ ДЕЛО НЕ ВСЕГДА. НО ШИЛО ПО НОРМАЛЬНОМУ ВСЕГДА 1 КРИСТАЛЛ ТОЧНО СОЗДАСТ!</t>
      </text>
    </comment>
    <comment authorId="0" ref="T29">
      <text>
        <t xml:space="preserve">ЕШКА ДАЁТ 4 ЧАСТИЦА
КД ЕШКИ 6 сек. ОЧЕНЬ ЧАСТО МОЖНО НАЖАТЬ ДВЕ ЕШКИ ЗА 1 РОТАЦИЮ. А ЗНАЧИТ И ДО 8 ЧАСТИЦ МОЖЕТ ДОЙТИ</t>
      </text>
    </comment>
    <comment authorId="0" ref="U29">
      <text>
        <t xml:space="preserve">РОТАЦИЯ⏰:
ЕШКА - 2 УДАРА - УЛЬТА
☘️☘️☘️
ЕШКА - 1 СС
УДАРЫ - 1 СС х 2
УЛЬТА - 1 СС
РОТАЦИЯ САП: 4 СС
⛔️⛔️⛔️
ЕСЛИ ВЫ БУДЕТЕ ИГРАТЬ КАК ДД⌛ ТО УДАРОВ БУДЕТ НАМНОГО БОЛЬШЕ
☘️☘️☘️
ЕШКА - 1 СС
УДАРЫ - 2 СС х 3(УДАРА 4, НО ТАМ ЕСТЬ ОГРАНИЧЕНИЕ)
----
УЛЬТА - 1 СС
 (ХОТЯ УДАРОВ 3, НО ЛИМИТЫ)
РОТАЦИЯ ДД: 8 СС
</t>
      </text>
    </comment>
    <comment authorId="0" ref="W29">
      <text>
        <t xml:space="preserve">ВО ВРЕМЯ ЕШКИ
А ТАК ЖЕ БАФФ НА С1</t>
      </text>
    </comment>
    <comment authorId="0" ref="X29">
      <text>
        <t xml:space="preserve">МОБ + - ПЕРЕМЕЩЕНИЕ НАХОДЯСЬ В ЕШКЕ. ПО ЗЕМЛЕ И СКАЛАМ</t>
      </text>
    </comment>
    <comment authorId="0" ref="E30">
      <text>
        <t xml:space="preserve">РОТАЦИЯ:
БЫСТРАЯ ЕШКА - УЛЬТА</t>
      </text>
    </comment>
    <comment authorId="0" ref="G30">
      <text>
        <t xml:space="preserve">РОТАЦИЯ:
ФУЛЛ ЕШКА - УЛЬТА</t>
      </text>
    </comment>
    <comment authorId="0" ref="L30">
      <text>
        <t xml:space="preserve">ТАМ В КАЛЬКУЛЯТОРЕ ОШИБКА С ДОЛГОЙ ЕШКОЙ, ПОЭТОМУ ЦИФРА НЕМНОГО ОТЛИЧАЕТСЯ ОТ ТАБЛИЦЫ</t>
      </text>
    </comment>
    <comment authorId="0" ref="Q30">
      <text>
        <t xml:space="preserve">УЛЬТА ДАЁТ БОНУС УРОНА ДЛЯ ОБЫЧНЫХ УДАРОВ, КОТОРЫЙ ЗАВИТ ОТ ЗЩ. ЮНКИ НА 12 сек.
10 ЛВЛ \ 13 ЛВЛ
2800 ЗЩ = 1624\1904 БУ
2400 ЗЩ = 1392\1632 БУ
1900 ЗЩ = 1102\1292 БУ
С2. УЛЬТА ДАЁТ 15% АФФИКСА НА ОБЫЧНЫЕ УДАРЫ
С6. УЛЬТ УВЕЛИЧИВАЕТ СКОРОСТЬ АТАКИ НА 12%</t>
      </text>
    </comment>
    <comment authorId="0" ref="S30">
      <text>
        <t xml:space="preserve">12к - ЭТО ПРОЧНОСТЬ ПАРИРОВАНИЯ
1к - ЭТО ТОТ САМЫЙ КРИСТАЛЛ, КОТОРЫЙ НАМ ПАДАЕТ ДЛЯ ВСЕХ НАШИХ МЕХАНИК)</t>
      </text>
    </comment>
    <comment authorId="0" ref="T30">
      <text>
        <t xml:space="preserve">2 - БЫСТРАЯ ЕШКА
(3) - ДОЛГАЯ ЕШКА</t>
      </text>
    </comment>
    <comment authorId="0" ref="U30">
      <text>
        <t xml:space="preserve">РОТАЦИЯ:
ДОЛГАЯ ЕШКА - УЛЬТА
☘️☘️☘️
ЕШКА ФУЛЛ - 4 СС
ЕШКЕ БЫСТРАЯ - 2 СС (В ЭТОЙ РОТАЦИИ НЕТ ЕЁ!)
УЛЬТА - 2 СС
РОТАЦИЯ: 6 СС</t>
      </text>
    </comment>
    <comment authorId="0" ref="W30">
      <text>
        <t xml:space="preserve">ВО ВРЕМЯ КАСТА ЕШКИ</t>
      </text>
    </comment>
    <comment authorId="0" ref="E31">
      <text>
        <t xml:space="preserve">РОТАЦИЯ:
ЕШКА - УЛЬТ</t>
      </text>
    </comment>
    <comment authorId="0" ref="Q31">
      <text>
        <t xml:space="preserve">С1 ДАЁТ 80 МС ВСЕМ НА 15 сек.
С6 ДАЁТ 15% АФФИКСА В ЗАРЯЖЕН и БУТОНЫ. И ИХ ЛУН. ВЕРСИИ!
ЕСЛИ НОДКРАЕВ 2+, ТО ЕЩЁ +20% АФФИКСА В БАФФ</t>
      </text>
    </comment>
    <comment authorId="0" ref="T31">
      <text>
        <t xml:space="preserve">3 ЧАСТИЦЫ ПОСЛЕ ЕШКИ</t>
      </text>
    </comment>
    <comment authorId="0" ref="U31">
      <text>
        <t xml:space="preserve">РОТАЦИЯ:
ЕШКА - УЛЬТ
☘️☘️☘️
ЕШКА - 2 СС (НА ДЕЛЕ 1 СС ЧАЩЕ)
---
УЛЬТ - 8 СС (15 УДАРОВ)(СТАНДАРТНЫЙ ЛИМИТ)
С2 - 3 СС (3 УДАРА)
РОТАЦИЯ: 12 СС</t>
      </text>
    </comment>
    <comment authorId="0" ref="X31">
      <text>
        <t xml:space="preserve">ЕШКОЙ МОЖЕТ ПРИТЯГИВАТЬСЯ</t>
      </text>
    </comment>
    <comment authorId="0" ref="E32">
      <text>
        <t xml:space="preserve">РОТАЦИЯ:
ЕШКА - 15 УДАРОВ</t>
      </text>
    </comment>
    <comment authorId="0" ref="G32">
      <text>
        <t xml:space="preserve">РОТАЦИЯ:
УЛЬТА - ЕШКА - 15 УДАРОВ</t>
      </text>
    </comment>
    <comment authorId="0" ref="L32">
      <text>
        <t xml:space="preserve">РОТАЦИЯ:
УЛЬТА - ЕШКА - 15 УДАРОВ (ПАУЗА) - ЕШКА - 15 УДАРОВ
ЕГО РОТАЦИЯ ЗДЕСЬ ДЛИТСЯ, ГДЕ-ТО 18 сек.</t>
      </text>
    </comment>
    <comment authorId="0" ref="Q32">
      <text>
        <t xml:space="preserve">УЛЬТА БАФФАЕТ 20% АФФИКСА НА ОБЫЧНЫЕ УДАРЫ АКТИВНОГО ПЕРСОНАЖА В ОБЛАСТИ!</t>
      </text>
    </comment>
    <comment authorId="0" ref="T32">
      <text>
        <t xml:space="preserve">ГЕНЕРИРУЕТ 2 ЧАСТИЦЫ С ЕШКИ ЗА УДАРЫ. НО ТАМ ЛИМИТ В 2 ЧАСТИЦУ В 2 сек. ИЗ-ЗА ЧЕГО МЫ УСПЕВАЕМ ТОЛЬКО 6 ЧАСТИЦ СДЕЛАТЬ</t>
      </text>
    </comment>
    <comment authorId="0" ref="U32">
      <text>
        <t xml:space="preserve">РОТАЦИЯ:
УЛЬТА - ЕШКА - 15 УДАРОВ
☘️☘️☘️
УЛЬТА 18 УДАРОВ - 9 СС (ЛИМИТЫ)
---
ЕШКА НАЖАТИЕ - 1 СС
---
УДАРЫ В ЕШКЕ - 8 СС 
(15 УДАРОВ, НО КАК ВСЕГДА ЛИМИТЫ МЕШАЮТ...)
РОТАЦИЯ: 18 СС
</t>
      </text>
    </comment>
    <comment authorId="0" ref="W32">
      <text>
        <t xml:space="preserve">В СТОЙКЕ ЕШКИ</t>
      </text>
    </comment>
    <comment authorId="0" ref="X32">
      <text>
        <t xml:space="preserve">УЛЬТА ФИКСИРУЕТ БАФФЫ В КОНЦЕ АНИМАЦИИ УЛЬТЫ</t>
      </text>
    </comment>
    <comment authorId="0" ref="E33">
      <text>
        <t xml:space="preserve">РОТАЦИЯ:
ЕШКА</t>
      </text>
    </comment>
    <comment authorId="0" ref="G33">
      <text>
        <t xml:space="preserve">РОТАЦИЯ:
ЕШКА - УЛЬТА</t>
      </text>
    </comment>
    <comment authorId="0" ref="L33">
      <text>
        <t xml:space="preserve">В ЭТОЙ РОТАЦИИ БАРБАРА НАХОДИТСЯ НА ПОЛЕ БОЯ 12-14сек. ТО ЕСТЬ ОЧЕНЬ ДОЛГО. ЕШКИ ДВЕ ЗА СЧЁТ ЦЕРЕМОНИИ И УЛЬТА НЕ НАЖИМАЕТСЯ!</t>
      </text>
    </comment>
    <comment authorId="0" ref="Q33">
      <text>
        <t xml:space="preserve">С2. ЕШКА ДАЁТ 15% ГИДРО АФФИКСА АКТИВНОМУ ПЕРСОНАЖУ, ВО ВРЕМЯ ЕШКИ</t>
      </text>
    </comment>
    <comment authorId="0" ref="R33">
      <text>
        <t xml:space="preserve">ЕШКА ХИЛИТ 3,4к АКТИВНОМУ 4 РАЗА. СУММАРНО 13,6к
ОБЫЧНЫЕ УДАР ПОД ЕШКОЙ ХИЛЯТ 38к СУММАРНО
9.5к КАЖДОМУ
ЗАРЯЖЕННАЯ ХИЛИТ 10к КАЖДОМУ. 40к СУММАРНО
УЛЬТА ХИЛИТ 15к КАЖДОМУ, НО УЛЬТУ МЫ НЕ НАЖИМАЕМ!
НО ЭТОТ ХИЛ В ФУЛЛ МС!!! ЕСЛИ МЫ БУДЕМ ИГРАТЬ В ФУЛЛ ХИЛ, ТО КОНЕЧНО ХИЛ БУДЕТ В РАЗА 2 БОЛЬШЕ!</t>
      </text>
    </comment>
    <comment authorId="0" ref="T33">
      <text>
        <t xml:space="preserve">0 - ЕШКА
2Е - С1 ЗА 20 сек.
4Е - С4 КОТОРОЕ ДАЁТ 1Е ЗА ЗАРЯЖКУ</t>
      </text>
    </comment>
    <comment authorId="0" ref="U33">
      <text>
        <t xml:space="preserve">РОТАЦИЯ:
ЕШКА - 3 УДАРА х 5 - 4 ЗАРЯЖЕННЫЕ
☘️☘️☘️
ЕШКА АКТИВАЦИЯ - 1 СС
ЕШКА КАСАНИЕ - 3 СС (1 СС НАКЛАДЫВАЕТ 1 РАЗ В 3 сек.)(ПОЭТОМУ ЧЁТКОЙ ЦИФРЫ КАСАНИЙ У МЕНЯ НЕТ!)
---
3 УДАРА х5 - 8 СС (КАК ВСЕГДА ЛИМИТЫ)
---
4 ЗАРЯЖЕННЫХ - 4 СС (ОБЩИХ ЛИМИТОВ С УДАРАМИ НЕТ!)
РОТАЦИЯ: 15 СС
С КАРМАНА ПОНЯТНО СТАТУСА ТАМ ПОЧТИ НЕТ!!!</t>
      </text>
    </comment>
    <comment authorId="0" ref="X33">
      <text>
        <t xml:space="preserve">НА С6 ВОСКРЕШАЕТ СОЮЗНИКА НА 100% ХП
ЕШКА НАКАЛАДЫВАЕТ ГИДРО НА АКТИВНОГО ПЕРСА. ПОСТОЯННО!</t>
      </text>
    </comment>
    <comment authorId="0" ref="E34">
      <text>
        <t xml:space="preserve">РОТАЦИЯ:
БЫСТРА ЕШКА - УЛЬТА</t>
      </text>
    </comment>
    <comment authorId="0" ref="G34">
      <text>
        <t xml:space="preserve">РОТАЦИЯ:
ДОЛГАЯ ЕШКА - УЛЬТА</t>
      </text>
    </comment>
    <comment authorId="0" ref="R34">
      <text>
        <t xml:space="preserve">ЕШКА СОЗДАЁТ КАПЛИ, КОТОРЫЕ ПРИ ПОДНЯТИИ ХИЛЯТ НАС НА 1,5к
КАПЕЛЬ 4 ШТУКИ
ТАК ЖЕ КАПЛИ НА С6 ХИЛЯТ ОДНОГО ПЕРСОНАЖА ДОПОЛНИТЕЛЬНО. ХИЛ БУДЕТ В СРЕДНЕМ 1,5к И ТОЖЕ 4 РАЗА
ВСЕГО: 6к + 6к = 12к</t>
      </text>
    </comment>
    <comment authorId="0" ref="S34">
      <text>
        <t xml:space="preserve">С4 СОЗДАЁТ ЩИТ КРЕПКОСТЬЮ В 2к ВО ВРЕМЯ ЕШКИ
НО ИЗ-ЗА ТОГО, ЧТО ЩИТ ОБНОВЛЯЕТСЯ, ТО ОН МОЖЕТ ПОГЛОТИТЬ ВЕСЬМА МНОГО УРОНА. КАК МИНИМУМ 6к
ЩИТ РАБОТАЕТ ТОЛЬКО НА НАС!</t>
      </text>
    </comment>
    <comment authorId="0" ref="T34">
      <text>
        <t xml:space="preserve">ПОСЛЕДНИЙ УДАР ЕШКИ ДАЁТ 3,3 ЧАСТИЦЫ</t>
      </text>
    </comment>
    <comment authorId="0" ref="U34">
      <text>
        <t xml:space="preserve">РОТАЦИЯ:
ЕШКА - УЛЬТА
☘️☘️☘️
ЕШКА КАПЛИ - 4 СС (22 УДАРА, ЧЕМ МЕНЬШЕ УДАРОВ, ТЕМ МЕНЬШЕ СС)
(1 СС РАЗ В 1,5 сек)
---
ЕШКА ФИНАЛЬНЫЙ УДАР - 1 СС
УЛЬТА - 3 СС (УДАРОВ 9, НАМ МЕШАЮТ КАК ВСЕГДА ЛИМИТЫ, НО ЛИМИТ СТАТУСА У УЛЬТЫ 4 СС)
(А ТАК КАК У НАС УЛЬТ МОЖЕ УДАРИТЬ 13 РАЗ, А МЫ БЬЁМ 9)(ТО У НАС ПОЛУЧАЕТСЯ 3 СС)
РОТАЦИЯ: 9 СС</t>
      </text>
    </comment>
    <comment authorId="0" ref="W34">
      <text>
        <t xml:space="preserve">ВО ВРЕМЯ КАСТА ЕШКИ</t>
      </text>
    </comment>
    <comment authorId="0" ref="X34">
      <text>
        <t xml:space="preserve">УЛЬТА ФИКСИРУЕТ БАФФЫ ПРИ НАЖАТИИ</t>
      </text>
    </comment>
    <comment authorId="0" ref="E35">
      <text>
        <t xml:space="preserve">РОТАЦИЯ:
ЕШКА - УЛЬТА</t>
      </text>
    </comment>
    <comment authorId="0" ref="Q35">
      <text>
        <t xml:space="preserve">П2. УЛЬТА УВЕЛИЧИВАЕТ СКОРОСТЬ АТАКИ НА 20%
ЗАВИСИТ ОТ ХП ДАЛИИ
40к ХП = 20%
30к ХП = 15%
20к ХП = 10%
С6. СКОРОСТЬ АТАКИ ДОПОЛНИТЕЛЬНО ЕЩЁ НА 10% УВЕЛИЧИВАЕТСЯ ПОД УЛЬТОЙ</t>
      </text>
    </comment>
    <comment authorId="0" ref="S35">
      <text>
        <t xml:space="preserve">20к - ЭТО ЧИСТО ОДИН УЛЬТ. В КОТОРОМ БУДЕТ 4 ЩИТА. НО!
ТУТ ЕСТЬ КУЧА НЮАНСОВ
1 ЩИТ = 5к
ЕСЛИ МЫ НЕ БУДЕМ БИТЬ УДАРАМИ, ЩИТОВ НЕ БУДЕТ!
ЕСЛИ МЫ ИГРАЕМ В ЗАМОРОЗКЕ, ТО БУДЕТ ЕЩЁ +4 ЩИТА
ПО ИДЕЕ ПИК ЭТО 40к, НО МЫ ЕГО НЕ ДОСТИГНЕМ НИКОГДА! ПОТОМУ ЧТО ЩИТ ОБНОВЛЯЕТСЯ, ТОЛЬКО ЕСЛИ ЕГО СЛОМАТЬ. ТАК ЧТО СЧИТАЙТЕ ЩИТ ВЕЧНЫЙ!</t>
      </text>
    </comment>
    <comment authorId="0" ref="T35">
      <text>
        <t xml:space="preserve">ЕШКА ДАЁТ 3 ЧАСТИЦЫ</t>
      </text>
    </comment>
    <comment authorId="0" ref="U35">
      <text>
        <t xml:space="preserve">РОТАЦИЯ:
ЕШКА - УЛЬТА
☘️☘️☘️
ЕШКА - 1 СС
УЛЬТ - 2 СС
РОТАЦИЯ: 3 СС</t>
      </text>
    </comment>
    <comment authorId="0" ref="X35">
      <text>
        <t xml:space="preserve">ПОДКИДЫВАЕТ ЕШКА В ВОЗДУХ
ТАК ЖЕ ЗА СЧЁТ ПАССИВКИ ДНЁМ БЕГАЕШЬ БЫСТРЕЙ
ВОСКРЕШАЕТ ПЕРСОНАЖА ВО ВРЕМЯ УЛЬТЫ, ЗА СЧЁТ С6</t>
      </text>
    </comment>
    <comment authorId="0" ref="E36">
      <text>
        <t xml:space="preserve">РОТАЦИЯ:
ЕШКА - УЛЬТА - УДАР</t>
      </text>
    </comment>
    <comment authorId="0" ref="G36">
      <text>
        <t xml:space="preserve">РОТАЦИЯ:
ЕШКА - УЛЬТА - УДАР - ЕШКА - УДАР</t>
      </text>
    </comment>
    <comment authorId="0" ref="Q36">
      <text>
        <t xml:space="preserve">П2. ДАЁТ АФФИКС УРОНА АКТИВНОМУ ПЕРСОНАЖУ ПОД УЛЬТОЙ. БАФФ ЗАВИСИТ ОТ ДЛИТЕЛЬНОСТИ
15 сек. = 50% УРОНА
10 сек. = 35% УРОНА
5 сек. = 17,5% УРОНА
БАФФ СПАДАЕТ СРАЗУ, КАК ТОЛЬКО ТЫ МЕНЯЕШЬ ПЕРСА
⛔️БАФФ НЕЛЬЗЯ ЗАФИКСИРОВАТЬ СНЕП-ШОТОМ!⛔️</t>
      </text>
    </comment>
    <comment authorId="0" ref="T36">
      <text>
        <t xml:space="preserve">4 - ЕШКА
8 - ЦЕРЕМОНИЯ(ДВЕ ЕШКИ)</t>
      </text>
    </comment>
    <comment authorId="0" ref="U36">
      <text>
        <t xml:space="preserve">РОТАЦИЯ:
ЕШКА - УЛЬТА - УДАР
☘️☘️☘️
ЕШКА - 1 СС
УЛЬТА АКТИВАЦИЯ - 2 СС
УЛЬТА КАРМАН - 11 CС (КАЖДЫЙ ЗАЛП НАКЛАДЫВАЕТ 1 СС)
(ЗАЛПОВ 11)(УДАРОВ 33)
РОТАЦИЯ: 14 СС
</t>
      </text>
    </comment>
    <comment authorId="0" ref="W36">
      <text>
        <t xml:space="preserve">0,2 - ЭТО БЕГАЯ В ЕШКЕ
0,6 - ЭТО БЫСТРОЕ НАЖАТИЕ ЕШКИ</t>
      </text>
    </comment>
    <comment authorId="0" ref="X36">
      <text>
        <t xml:space="preserve">В ЕШКЕ БЫСТРО БЕГАЕТ</t>
      </text>
    </comment>
    <comment authorId="0" ref="E37">
      <text>
        <t xml:space="preserve">РОТАЦИЯ:
БЫСТРАЯ ЕШКА - УЛЬТА</t>
      </text>
    </comment>
    <comment authorId="0" ref="G37">
      <text>
        <t xml:space="preserve">РОТАЦИЯ:
ФУЛЛ ЕШКА - УЛЬТА</t>
      </text>
    </comment>
    <comment authorId="0" ref="Q37">
      <text>
        <t xml:space="preserve">УЛЬТА ДАЁТ 20% АФФИКСА В ОБЫЧНЫЕ УДАРЫ НА 12 сек.
П2. ДАЁТ АФФИКС В УДАРЫ ЗА ХП ВО ВРЕМЯ УЛЬТЫ
40к ХП = 20%
32к ХП = 16%
25к ХП = 12,5%</t>
      </text>
    </comment>
    <comment authorId="0" ref="S37">
      <text>
        <t xml:space="preserve">11к - ЭТО ПАРИРОВАНИЕ ИМЕЕТ СТОЛЬКО ЩИТА!</t>
      </text>
    </comment>
    <comment authorId="0" ref="T37">
      <text>
        <t xml:space="preserve">2 - БЫСТРАЯ ЕШКА
(3) - ФУЛЛ ЕШКА</t>
      </text>
    </comment>
    <comment authorId="0" ref="U37">
      <text>
        <t xml:space="preserve">РОТАЦИЯ:
ЕШКА - УЛЬТА
☘️☘️☘️
ЕШКА - 1 СС
УЛЬТА АКТИВАЦИЯ - 1 СС
УЛЬТА СМЕНА - 1 СС (1 УДАР)
С6 - 3 СС (3 УДАРА)
РОТАЦИЯ: 6 СС</t>
      </text>
    </comment>
    <comment authorId="0" ref="X37">
      <text>
        <t xml:space="preserve">УЛЬТА ДАЁТ ГИДРО ИНФУЗИЮ!</t>
      </text>
    </comment>
    <comment authorId="0" ref="E38">
      <text>
        <t xml:space="preserve">РОТАЦИЯ:
ЕШКА</t>
      </text>
    </comment>
    <comment authorId="0" ref="G38">
      <text>
        <t xml:space="preserve">РОТАЦИЯ:
ЕШКА - *ПАУЗА* - УЛЬТА - (2 УДАРА \ ДЭШ) х10</t>
      </text>
    </comment>
    <comment authorId="0" ref="R38">
      <text>
        <t xml:space="preserve">ЕШКА ХИЛИТ 7.2к ЗА ТИК
ТИКОВ 10. 4 ТИКА ДО УЛЬТЫ, А ПОТОМ ЕЩЁ 6 ТИКОВ.
КАЖДЫЙ УДАР В УЛЬТЕ ХИЛИТ 1.3к ЗА УДАР 
20 УДАРОВ = 26к КАЖДОМУ
104к ВСЕМ + 72к ЕШКА
</t>
      </text>
    </comment>
    <comment authorId="0" ref="T38">
      <text>
        <t xml:space="preserve">ЕШКА ДАЁТ 0.66 ЧАСТИЦ ЗА ОДНУ ВОЛНУ
В СРЕДНЕМ У НАС 10 ВОЛН
ЧТО И ДАЁТ НАМ 6.6 ЧАСТИЦ</t>
      </text>
    </comment>
    <comment authorId="0" ref="U38">
      <text>
        <t xml:space="preserve">РОТАЦИЯ:
ЕШКА - УЛЬТА - (2 УДАРА \ ДЭШ) х10
☘️☘️☘️
ЕШКА 10 УДАРОВ - 10 СС
УЛЬТА НАЖАТИЕ - 2 СС
УДАРЫ - 12 СС (20 УДАРОВ, НО ЛИМИТЫ)
РОТАЦИЯ: 24 СС
⛔️⛔️⛔️
МОЖЕТЕ ЧЕРЕДОВАТЬ УДАРЫ И ЗАРЯЖЕННЫЕ. ТАК КАК У ЗАРЯЖЕННЫХ НЕТ ЛИМИТОВ ВООБЩЕ! 
ВЫ МОЖЕТЕ НАКЛАДЫВАТЬ БОЛЬШЕ ВОДЫ.
НАПРИМЕР ЛОМАТЬ ПИРО ЩИТЫ КРАБУ ИМЕННО ЧЕРЕДУЯ УДАРЫ, БУДЕТ НАМНОГО ЭФФЕКТИВНЕЙ!</t>
      </text>
    </comment>
    <comment authorId="0" ref="X38">
      <text>
        <t xml:space="preserve">ВОДА - ПЕРСОНАЖ МОЖЕТ ХОДИТЬ ПО ВОДЕ ВО ВРЕМЯ ВЗРЫВА СТИХИЙ
СНШОТ - ЕШКА ФИКСИРУЕТ БАФФЫ ПРИ НАЖАТИИ, НО БАФФЫ НА ХП МЕНЯЮТСЯ ДИНАМИЧНО
ВО ВРЕМЯ НАЖАТИЯ ЕШКИ НАКЛАДЫВАЕТ ГИДРО НА КОКО</t>
      </text>
    </comment>
    <comment authorId="0" ref="E39">
      <text>
        <t xml:space="preserve">РОТАЦИЯ:
ЕШКА - УЛЬТА</t>
      </text>
    </comment>
    <comment authorId="0" ref="Q39">
      <text>
        <t xml:space="preserve">УЛЬТА ДАЁТ БАФФ АФФИКСА НА 60% УРОНА. 
БАФФ РАБОТАЕТ НА ВСЮ КОМАНДУ!
ДЛИТЬСЯ 6 сек. ПОСЛЕ ВЗРЫВА ПУЗЫРЯ.
 ⛔️БАФФ НЕЛЬЗЯ ЗАФИКСИРОВАТЬ СНЕП-ШОТОМ!⛔️
</t>
      </text>
    </comment>
    <comment authorId="0" ref="T39">
      <text>
        <t xml:space="preserve">ЕШКА ПОСЛЕ ВЗРЫВА ДАЁТ 3 ЧАСТИЦЫ
НО ПОПАДЁТ ЛИ ВЗРЫВ...</t>
      </text>
    </comment>
    <comment authorId="0" ref="U39">
      <text>
        <t xml:space="preserve">РОТАЦИЯ:
ЕШКА - УЛЬТА
☘️☘️☘️
ЕШКА КАРМАН - 2 СС (УДАРА 4, НО ЛИМИТЫ)
ЕШКА ВЗРЫВ - 1 СС
---
УЛЬТА - 3 СС (САМ ПУЗЫРЬ НАКЛАДЫВАЕТ 1 СС, А ЗАТЕМ ВЗРЫВ 2 СС)
РОТАЦИЯ: 6 СС</t>
      </text>
    </comment>
    <comment authorId="0" ref="X39">
      <text>
        <t xml:space="preserve">ЕШКА ФИКСИРУЕТ БАФФЫ ПРИ НАЖАТИИ
ПЕРСОНАЖ ШАБАША</t>
      </text>
    </comment>
    <comment authorId="0" ref="E40">
      <text>
        <t xml:space="preserve">РОТАЦИЯ:
ЕШКА - 3 УДАРА - УЛЬТА</t>
      </text>
    </comment>
    <comment authorId="0" ref="T40">
      <text>
        <t xml:space="preserve">ПЕРВЫЙ УКУС АКУЛЫ ДАЁТ 4.5 ЧАСТИЦ</t>
      </text>
    </comment>
    <comment authorId="0" ref="U40">
      <text>
        <t xml:space="preserve">РОТАЦИЯ:
ЕШКА - 3 УДАРА - УЛЬТА
☘️☘️☘️
ЕШКА 3 УДАРА - 3 СС
УЛЬТА - 1 СС
РОТАЦИЯ: 4 СС</t>
      </text>
    </comment>
    <comment authorId="0" ref="W40">
      <text>
        <t xml:space="preserve">ВО ВРЕМЯ ЕШКИ</t>
      </text>
    </comment>
    <comment authorId="0" ref="X40">
      <text>
        <t xml:space="preserve">НА АКУЛЕ КАТАЕТСЯ БЫСТРО ПО ВОДЕ ИЛИ ЗЕМЛЕ.</t>
      </text>
    </comment>
    <comment authorId="0" ref="E41">
      <text>
        <t xml:space="preserve">РОТАЦИЯ:
ЕШКА - УЛЬТА - 3 ЗАРЯЖЕННЫЕ</t>
      </text>
    </comment>
    <comment authorId="0" ref="G41">
      <text>
        <t xml:space="preserve">РОТАЦИЯ:
ЕШКА - УЛЬТА - 3 ЗАРЯЖЕННЫЕ - ЕШКА</t>
      </text>
    </comment>
    <comment authorId="0" ref="R41">
      <text>
        <t xml:space="preserve">ЭТО САМОХИЛ. СКОЛЬКО ОН СЕБЕ ВОССТАНАВЛИВАЕТ, СТОЛЬКО И ТРАТИТ. НО В ЛЮБОМ СЛУЧАЕ ОН ВЕСЬМА ЖИВУЧИЙ!</t>
      </text>
    </comment>
    <comment authorId="0" ref="T41">
      <text>
        <t xml:space="preserve">ЕШКА ДАЁТ 4 ЧАСТИЦЫ
ДВЕ ЕШКИ - 8 ЧАСТИЦ</t>
      </text>
    </comment>
    <comment authorId="0" ref="U41">
      <text>
        <t xml:space="preserve">РОТАЦИЯ:
ЕШКА - УЛЬТА - 3 ЗАРЯЖЕННЫЕ - ЕШКА
☘️☘️☘️
ЕШКА 2 РАЗА - 2 СС (У ИГЛЫ СТАТУСА НЕТ!)
---
УЛЬТА - 1 СС (ГЕЙЗЕР БЬЁТ 2 РАЗА)(НО СТАТУС ОБЩИЙ)
---
ЗАРЯЖЕННАЯ 3 РАЗА -  12 СС (УДАРОВ ВСЕГО 24, НО ЛИМИТЫ НЕ ДАЮТ БОЛЬШЕ СС)
РОТАЦИЯ: 15 СС
</t>
      </text>
    </comment>
    <comment authorId="0" ref="W41">
      <text>
        <t xml:space="preserve">ВО ВРЕМЯ ЗАРЯЖЕННОЙ НА С1
0,5 - ЭТО НА С0</t>
      </text>
    </comment>
    <comment authorId="0" ref="X41">
      <text>
        <t xml:space="preserve">МОБ - БЫСТРЕЕ ПЛАВАЕШЬ ПОД ВОДОЙ</t>
      </text>
    </comment>
    <comment authorId="0" ref="E42">
      <text>
        <t xml:space="preserve">РОТАЦИЯ:
ЕШКА х4 - УЛЬТА</t>
      </text>
    </comment>
    <comment authorId="0" ref="G42">
      <text>
        <t xml:space="preserve">РОТАЦИЯ:
УЛЬТА - ЕШКА 3 РАЗА - 3 УДАРА х5</t>
      </text>
    </comment>
    <comment authorId="0" ref="Q42">
      <text>
        <t xml:space="preserve">П1. ДАЁТ 100 МС НА 30 сек.
П2. УРОН БУТОНОВ РАСТЁТ ОТ ХП НИЛУ
74,5к ХП = 400%
65к ХП = 315%
60к ХП = 270%
30к ХП = 0%
УРОН РАСТЁТ БАЗОВОЙ ЦИФРЫ РЕАКЦИИ, А ОНА В СРЕДНЕМ 2900 БУДЕТ!</t>
      </text>
    </comment>
    <comment authorId="0" ref="T42">
      <text>
        <t xml:space="preserve">ПЕРВЫЕ 3 УДАРА ЕШКИ ДАЮТ ПО 1 ЧАСТИЦЫ
ПОСЛЕДНИЙ УДАР ЕШКИ ДАЁТ 1,5 ЧАСТИЦЫ
СУММАРНО = 4,5 ЧАСТИЦ</t>
      </text>
    </comment>
    <comment authorId="0" ref="U42">
      <text>
        <t xml:space="preserve">РОТАЦИЯ:
УЛЬТА - ЕШКА х4 РАЗА
☘️☘️☘️
УЛЬТА - 2 СС (2 УДАРА)
---
ЕШКА - 3 СС (УДАРА 4, НО ОДИН УДАР СТАТУСА НЕ ДАСТ!)
---
ЕШКА КАРМАН - 5 СС (ЛУЖА НАКЛАДЫВАЕТ СТАТУС РАЗ В 2 сек.)(УЧИТЫВАЯ ПЕРЕМЕЩЕНИЕ, МЫ ПОЛУЧИМ 5 СС)
РОТАЦИЯ: 10 СС
⛔️⛔️⛔️
РОТАЦИЯ В ДД:
УЛЬТА - ЕШКА - 3 УДАРА х6
☘️☘️☘️
УЛЬТА - 2 СС
ЕШКА - 1 СС
3 УДАРА х6 - 9 СС (УДАРОВ 18, НО ЛИМИТЫ)
РОТАЦИЯ: 12 СС
</t>
      </text>
    </comment>
    <comment authorId="0" ref="W42">
      <text>
        <t xml:space="preserve">ВО ВРЕМЯ КАСТА ЕШКИ И ПОТОМ В СТОЙКЕ</t>
      </text>
    </comment>
    <comment authorId="0" ref="X42">
      <text>
        <t xml:space="preserve">ВТОРОЙ УДАР УЛЬТЫ ФИКСИРУЕТ БАФЫ НИЛУ
МЕНЯЕТ БУТОНЫ НА ЯДРО ИЗОБИЛИЯ</t>
      </text>
    </comment>
    <comment authorId="0" ref="E43">
      <text>
        <t xml:space="preserve">РОТАЦИЯ:
ЕШКА - *ПОДНЯТЬ КАПЛИ*
ЕШКА - ЕШКА = БУДЕТ 2 сек.</t>
      </text>
    </comment>
    <comment authorId="0" ref="G43">
      <text>
        <t xml:space="preserve">РОТАЦИЯ:
ЕШКА - УЛЬТА</t>
      </text>
    </comment>
    <comment authorId="0" ref="Q43">
      <text>
        <t xml:space="preserve">П1. УВЕЛИЧИВАЕТ УРОН ЕШКИ ПОСЛЕ НАЖАТИЯ ЕШКИ.
УРОН ЗАВИСИТ ОТ ХП СИДЖИ
65к ХП = 2800 БУ ЕШКИ
50к ХП = 1600 БУ ЕШКИ
30к ХП = 0 БУ ЕШКИ
БУ - БАЗОВЫЙ УРОН</t>
      </text>
    </comment>
    <comment authorId="0" ref="R43">
      <text>
        <t xml:space="preserve">КАЖДЫЙ ТИК ПУЗЫРЯ ХИЛИТ 5к ВСЕМ КРОМЕ СИДЖИ
СУММАРНО = 75к
ПОТОМ ПУЗЫРЬ ХИЛИТ НАС НА 40к ХП
ВСЕГО = 115к</t>
      </text>
    </comment>
    <comment authorId="0" ref="T43">
      <text>
        <t xml:space="preserve">4 - ЕШКА
8 - ЦЕРЕМОНИЯ(ДВЕ ЕШКИ)</t>
      </text>
    </comment>
    <comment authorId="0" ref="U43">
      <text>
        <t xml:space="preserve">РОТАЦИЯ:
ЕШКА - УЛЬТА
☘️☘️☘️
ЕШКА - 3 СС (УДАРОВ 5, НО ЛИМИТЫ ДИКИЕ)
---
УЛЬТА - 2 СС (УДАРОВ 6, НО ОПЯТЬ ЛИМИТЫ)
РОТАЦИЯ: 5 СС</t>
      </text>
    </comment>
    <comment authorId="0" ref="W43">
      <text>
        <t xml:space="preserve">ВО ВРЕМЯ КАСТА УЛЬТЫ</t>
      </text>
    </comment>
    <comment authorId="0" ref="E44">
      <text>
        <t xml:space="preserve">РОТАЦИЯ:
ЕШКА - УЛЬТА</t>
      </text>
    </comment>
    <comment authorId="0" ref="G44">
      <text>
        <t xml:space="preserve">РОТАЦИЯ:
ЕШКА - УЛЬТА - УДАР - ЕШКА</t>
      </text>
    </comment>
    <comment authorId="0" ref="Q44">
      <text>
        <t xml:space="preserve">С2. УМЕНЬШАЕТ ГИДРО РЕЗИСТ НА 15% НА 4 сек. ПОСЛЕ УДАРА УЛЬТЫ</t>
      </text>
    </comment>
    <comment authorId="0" ref="R44">
      <text>
        <t xml:space="preserve">КАЖДЫЙ МЕЧ ХИЛИТ 1к ХП
МЕЧ ВСЕГО 4</t>
      </text>
    </comment>
    <comment authorId="0" ref="S44">
      <text>
        <t xml:space="preserve">42% УРОНА ПОГЛОЩАЮТ МЕЧИ СИНЕГО
---
ЧЕМ ВЫШЕ ГИДРО ЭЛЕМЕНТАЛКА СИНЕГО, ТЕМ БОЛЬШЕ ПОГЛОЩАЕТ!
---
З КАДЗУХОЙ ИЛИ СВИТКАМИ, У НАС БУДЕТ 50%
---
УРОН УМЕНЬШАЕТ И ПОД ЩИТОМ!</t>
      </text>
    </comment>
    <comment authorId="0" ref="T44">
      <text>
        <t xml:space="preserve">ЕШКА - 5
ДВЕ ЕШКИ(ЦЕРЕМОНИЯ) - 10</t>
      </text>
    </comment>
    <comment authorId="0" ref="U44">
      <text>
        <t xml:space="preserve">РОТАЦИЯ:
ЕШКА - УЛЬТА - УДАР - ЕШКА
☘️☘️☘️
ЕШКА 2 РАЗА - 4 СС
---
УЛЬТА 44 УДАРА - 16 СС (ТУТ ВСЁ СЛОЖНО!)
(ЛИМИТЫ ЕСТЬ И ОНИ КАК БЫ СТАНДАРТ)
(НО ЕСЛИ 3 МЕЧА ЛЕТИТ ТО 1 СС, ЕСЛИ 5 МЕЧЕЙ ТО 2 СС)
(12 АКТИВАЦИЙ ПОЛУЧАЕТСЯ 16 СС)
---
МЕЧИ КАСАНИЕ - 6 СС (ЛИМИТЫ ЕСТЬ! 1 СС В 2.25 сек)
(НО ТУТ ЗАВИСИТ ВСЁ ОТ ТОГО, КАК ЧАСТО ТЫ В УПОР К ВРАГУ)
(КАСАНИЕ НИКАК НЕ СВЯЗАННО ЛИМИТАМИ С УЛЬТОЙ, ТАК ЧТО СТАТУСА ТОННЫ!)
РОТАЦИЯ: 26 СС</t>
      </text>
    </comment>
    <comment authorId="0" ref="W44">
      <text>
        <t xml:space="preserve">ПОД МЕЧАМИ ЕШКИ\УЛЬТЫ</t>
      </text>
    </comment>
    <comment authorId="0" ref="X44">
      <text>
        <t xml:space="preserve">ПОНИЖЕНИЕ УРОНА ОТ ГИДРО УРОНА ФИКСИРУЕТ ЭЛЕМЕНТАЛКУ ПРИ НАЖАТИИ ЕШКИ И УЛЬТЫ</t>
      </text>
    </comment>
    <comment authorId="0" ref="E45">
      <text>
        <t xml:space="preserve">РОТАЦИЯ:
ЕШКА - ЗАРЯЖЕННАЯ - УЛЬТ - 
(2 УДАРА \ ЗАРЯЖЕН.) х4</t>
      </text>
    </comment>
    <comment authorId="0" ref="T45">
      <text>
        <t xml:space="preserve">ВО ВРЕМЯ ЕШКИ МЫ ПОЛУЧАЕМ 1 ЧАСТИЦУ РАЗ В 3 сек.</t>
      </text>
    </comment>
    <comment authorId="0" ref="U45">
      <text>
        <t xml:space="preserve">РОТАЦИЯ:
ЕШКА - ЗАРЯЖЕННАЯ - УЛЬТ - 
(2 УДАРА \ ЗАРЯЖЕН.) х4
☘️☘️☘️
ЕШКА АКТИВАЦИЯ - 2 СС
УЛЬТ -  4 СС (2 УДАРА)(ЛИМИТОВ НЕТ!)
---
ЗАРЯЖЕННЫЕ 5 РАЗ - 5 СС (УДАРОВ 10, НО ЛИМИТЫ)
УДАРЫ 9 РАЗ - 5 СС (ЛИМИТЫ КАК ВСЕГДА МЕШАЮТ)
РОТАЦИЯ: 16 СС</t>
      </text>
    </comment>
    <comment authorId="0" ref="W45">
      <text>
        <t xml:space="preserve">В СТОЙКЕ ЕШКИ. НО!
ТАК КАК ОН ДАЛЬНИК. ТО ПО ФАКТУ НИЧЕГО НЕ ИЗМЕНИЛОСЬ... 
СТОЙКОСТИ И НЕТ</t>
      </text>
    </comment>
    <comment authorId="0" ref="X45">
      <text>
        <t xml:space="preserve">А.1 ЛВЛ+ - ДАЁТ +1 К ТАЛАНТУ УДАРОВ, ВСЕЙ КОМАНДЕ</t>
      </text>
    </comment>
    <comment authorId="0" ref="E46">
      <text>
        <t xml:space="preserve">РОТАЦИЯ:
ЕШКА - УЛЬТА</t>
      </text>
    </comment>
    <comment authorId="0" ref="Q46">
      <text>
        <t xml:space="preserve">УЛЬТА ДАЁТ АФФИКС УРОНА ВСЕМ!
АФФИКС ЗАВИСИТ ОТ ФАНФАР
300 Ф. = 75%
200 Ф. = 50%
100 Ф. = 25%
ТАМ ЕЩЁ ПОЛУЧЕНИЕ ЛЕЧЕНИЯ УВЕЛИЧИВАЕТСЯ!
НО ВЛИЯНИЯ ОТ ЭТОГО НИКАКОГО НЕТ! ПРОСТО ХИЛЛ ДЛЯ САМОЙ ЖЕ ФУРИНЫ
⛔️БАФФ НЕЛЬЗЯ ЗАФИКСИРОВАТЬ СНЕП-ШОТОМ!⛔️</t>
      </text>
    </comment>
    <comment authorId="0" ref="R46">
      <text>
        <t xml:space="preserve">ФУРИНА ХИЛИТ 1,2к КАЖДОМУ ЗА СЧЁТ П1, ХИЛЛ ИМЕЕТ 7 АКТИВАЦИЙ. 
8,4к КАЖДОМУ х 4
ВСЕГО 34к </t>
      </text>
    </comment>
    <comment authorId="0" ref="T46">
      <text>
        <t xml:space="preserve">ГИДРО ПОКЕМОНЫ ДАЮТ 1 ГИДРО ЧАСТИЦУ, КАЖДЫЕ 2,5 сек.</t>
      </text>
    </comment>
    <comment authorId="0" ref="U46">
      <text>
        <t xml:space="preserve">РОТАЦИЯ:
ЕШКА - УЛЬТА
☘️☘️☘️
ЕШКА АКТИВАЦИЯ - 1 СС
УЛЬТА - 1 СС
ЕШКА КАРМАН - 12 СС (28 УДАРОВ, НО ЛИМИТЫ!)
(ПО ФАКТУ КАЖДЫЙ ПОКЕМОН НАКЛАДЫВАЕТ 4 СС, ХОТЬ И БЬЮТ ОНИ ПО РАЗНОМУ)
РОТАЦИЯ: 14 СС</t>
      </text>
    </comment>
    <comment authorId="0" ref="X46">
      <text>
        <t xml:space="preserve">20 СЕК Р. - ДЛИТЕЛЬНОСТЬ РОТАЦИИ С КАРМАННА
МОБ - ХОДЬБА ПО ВОДЕ ПОД ЕШКОЙ
ПНЕВМО\УСИЯ - НА ЕШКЕ ПЕРЕКЛЮЧАЕТСЯ</t>
      </text>
    </comment>
    <comment authorId="0" ref="E47">
      <text>
        <t xml:space="preserve">РОТАЦИЯ:
ЕШКА - ПАДЕНИЕ - 4 УДАРА - УЛЬТА</t>
      </text>
    </comment>
    <comment authorId="0" ref="G47">
      <text>
        <t xml:space="preserve">РОТАЦИЯ:
ЕШКА - ПАДЕНИЕ - (3 УДАРА \ РЫВОК) х4 - УЛЬТА</t>
      </text>
    </comment>
    <comment authorId="0" ref="T47">
      <text>
        <t xml:space="preserve">2 - БЫСТРАЯ РОТАЦИЯ
(4) - ДОЛГАЯ РОТАЦИЯ</t>
      </text>
    </comment>
    <comment authorId="0" ref="U47">
      <text>
        <t xml:space="preserve">РОТАЦИЯ:
ЕШКА - ПАДЕНИЕ - (3 УДАРА \ ДЭШ) х4 - УЛЬТА
☘️☘️☘️
ЕШКА НАЖАТИЕ - 1 СС
ПАДЕНИЕ - 1 СС
---
12 УДАРОВ - 6 СС(ЛИМИТЫ)
---
ЗЕРКАЛА - 4 СС (1 СС ЗА АКТИВАЦИЮ)(АКТИВАЦИЙ БУДЕТ 4)
---
УЛЬТА - 2 - 3 СС(НЕВАЖНО СКОЛЬКО УДАРОВ! ЛИМИТЫ)
РОТАЦИЯ: 15 СС
</t>
      </text>
    </comment>
    <comment authorId="0" ref="W47">
      <text>
        <t xml:space="preserve">ВО ВРЕМЯ РЫВКА ЕШКИ</t>
      </text>
    </comment>
    <comment authorId="0" ref="X47">
      <text>
        <t xml:space="preserve">УЛЬТА ФИКСИРУЕТ БАФФЫ ПРИ ПОЯВЛЕНИИ</t>
      </text>
    </comment>
    <comment authorId="0" ref="E48">
      <text>
        <t xml:space="preserve">РОТАЦИЯ:
ЕШКА - УЛЬТА</t>
      </text>
    </comment>
    <comment authorId="0" ref="Q48">
      <text>
        <t xml:space="preserve">П2. ДАЁТ АФФИКС ВСЕМ ДЕНДРО РЕАКЦИЯМ, КОГДА ЩИТ С УЛЬТЫ НАКЛАДЫВАЕТСЯ НА ПЕРСОНАЖА! РАБОТАЕТ ТОЛЬКО НА АКТИВНОГО! НО БАФФ ДЛИТСЯ 6 сек.
БАФФ ЗАВИСИТ ОТ ХП:
50к ХП = 100% \ 40%
40к ХП = 80% \ 32%
30к ХП = 60% \ 24%
⛔️СРАВНЕНИЕ⛔️:
250 МС = 100% \ 40%
ТО ЕСТЬ БАФФ КАК У НАХИДЫ, НО РАБОТАЕТ ЧУТЬ ПО ДРУГОМУ! НО МС КАК СТАТ ПОЛЕЗНЕЙ КОНЕЧНО, ЧЕМ АФФИКС В РЕАКЦИИ...</t>
      </text>
    </comment>
    <comment authorId="0" ref="R48">
      <text>
        <t xml:space="preserve">ЕШКА ДАЁТ 8к ХИЛА ВСЕМ
УЛЬТА ДАЁТ 5к ХИЛА АКТИВНОМУ 6 РАЗ
СУММАРНО 32к ЕШКА + 30к УЛЬТА = 62к
ЭТО ФУЛЛ ХП\ФАВОНИЙ!!!
ЕСЛИ СОБРАТЬ В ЯНТАРЬ + БОНУС ЛЕЧЕНИЯ. ТО БУДЕТ В РАЗА ДВА БОЛЬШЕ ХИЛА!
НО ЛУЧШЕ СИЛЬНЕЙ БАФФ И БОЛЬШЕ СТАБИЛЬНОСТИ ВСЕМ</t>
      </text>
    </comment>
    <comment authorId="0" ref="S48">
      <text>
        <t xml:space="preserve">ПРОЧНОСТЬ ОДНОГО ЩИТА - 800
ВСЕГО ЩИТОВ БУДЕТ - 6</t>
      </text>
    </comment>
    <comment authorId="0" ref="T48">
      <text>
        <t xml:space="preserve">ЕШКА ДАЁТ 3.5 ЧАСТИЦЫ</t>
      </text>
    </comment>
    <comment authorId="0" ref="U48">
      <text>
        <t xml:space="preserve">РОТАЦИЯ:
ЕШКА - УЛЬТА
☘️☘️☘️
ЕШКА - 1 СС 
(3 УДАРА, НО ЛИМИТ НЕ ПОЗВОЛЯЕТ НАКЛАДЫВАТЬ СТАТУС ЧАЩЕ 1 СС В 2 сек.)
(ЭТО КСТАТИ И С1 МОМЕНТАМИ МЕШАЕТ...)
---
УЛЬТА 6 УДАРОВ - 6 СС
РОТАЦИЯ: 7 СС</t>
      </text>
    </comment>
    <comment authorId="0" ref="X48">
      <text>
        <t xml:space="preserve">ПРИ ПОДНЯТИИ РАСТЕНИЙ, ХИЛИТ АКТИВНОГО ПЕРСОНАЖА</t>
      </text>
    </comment>
    <comment authorId="0" ref="E49">
      <text>
        <t xml:space="preserve">РОТАЦИЯ:
ЕШКА - УЛЬТА</t>
      </text>
    </comment>
    <comment authorId="0" ref="Q49">
      <text>
        <t xml:space="preserve">П1. ДАЁТ МС ВО ВРЕМЯ УЛЬТЫ, ЧЕМ ДОЛЬШЕ, ТЕМ БОЛЬШЕ!
БАФФ НА АКТИВНОГО ПЕРСА!
5 сек. = 60 МС
3 сек. = 48 МС
ИЗ-ЗА С4 СРАЗУ 5 СТАКОВ!
БАФФ ПРОПАДАЕТ, ТОЛЬКО ТЫ МЕНЯЕШЬ ПЕРСОНАЖА! НО КОЛИЧЕСТВО МС НЕ СТАНОВИТСЯ МЕНЬШЕ!
С6. УЛЬТ ДАЁТ 12% АФФИКСА ДЕНДРО И 💧 или ⚡️ (ЗАВИСИТ ОТ ПОГЛОЩЕНИЯ!)
РАБОТАЕТ ТОЛЬКО НА АКТИВНОГО!
</t>
      </text>
    </comment>
    <comment authorId="0" ref="T49">
      <text>
        <t xml:space="preserve">ЕШКА ДАЁТ 2,5 ЧАСТИЦЫ</t>
      </text>
    </comment>
    <comment authorId="0" ref="U49">
      <text>
        <t xml:space="preserve">РОТАЦИЯ:
ЕШКА - УЛЬТА
☘️☘️☘️
ЕШКА - 1 СС
УЛЬТА КАРМАН - 5 СС (11 УДАРОВ)
УЛЬТА КАРМАН ЭЛЕКТРО - 7 СС (15 УДАРОВ)
РОТАЦИЯ: 6-8 СС</t>
      </text>
    </comment>
    <comment authorId="0" ref="X49">
      <text>
        <t xml:space="preserve">УЛЬТА ФИКСИРУЕТ БАФФЫ ПРИ НАЖАТИИ. ТРАНСМУТАЦИЯ СНЕП-ШОТ НЕ ОБНОВЛЯЕТ</t>
      </text>
    </comment>
    <comment authorId="0" ref="E50">
      <text>
        <t xml:space="preserve">РОТАЦИЯ:
УЛЬТА - ЕШКА - 4 УДАРА х 3 - ЕШКА - 4 УДАРА</t>
      </text>
    </comment>
    <comment authorId="0" ref="Q50">
      <text>
        <t xml:space="preserve">УЛЬТА ДАЁТ АФФИКС НА УРОН БУТОНОВ НА 12 сек.
10 ЛВЛ \ 13 ЛВЛ
49,5% \ 58,4%
БАФФ ПРОПАДЕТ, ЕСЛИ КАВЕХ УХОДИТ С ПОЛЯ БОЯ!
УРОН РАСТЁТ БАЗОВОЙ ЦИФРЫ РЕАКЦИИ, А ОНА В СРЕДНЕМ 2900 БУДЕТ!</t>
      </text>
    </comment>
    <comment authorId="0" ref="R50">
      <text>
        <t xml:space="preserve">КАЖДЫЙ БУТОН ХИЛИТ 900 ХП
---
БУТОНОВ В СРЕДНЕМ БУДЕТ 54 ШТУКИ ЗА 1 РОТАЦИЮ
(ОТ ВСЕХ ПЕРСОНАЖЕЙ)
В РЕЗУЛЬТАТИ БУДЕТ = 48,6к
</t>
      </text>
    </comment>
    <comment authorId="0" ref="T50">
      <text>
        <t xml:space="preserve">ЕШКА ДАЁТ - 2 ЧАСТИЦЫ
В СРЕДНЕМ БУДЕТ 2 ЕШКИ
4 ЧАСТИЦЫ ЗА РОТАЦИЮ!</t>
      </text>
    </comment>
    <comment authorId="0" ref="U50">
      <text>
        <t xml:space="preserve">РОТАЦИЯ:
УЛЬТА - ЕШКА - 4 УДАРА х 3 - ЕШКА - 4 УДАРА
☘️☘️☘️
УЛЬТА АКТИВАЦИЯ - 2 СС
ЕШКА 2 РАЗА - 2 СС
16 УДАРОВ - 8 СС (ЛИМИТЫ МЕШАЮТ)
РОТАЦИЯ: 12 СС
⛔️⛔️⛔️
ПРО С6 НИКАКОЙ ИНФОРМАЦИИ НЕ НАШЁЛ! В БОЮ ВООБЩЕ НЕ ПОНЯТНО! ИЗ-ЗА ТОГО, ЧТО РЕАКЦИЙ НИКАКИХ МЫ ТОЛКОМ НЕ ПРОКАЕМ. 
НУ ПО ИДЕЕ СТАТУСА С6 НЕ ДАЁТ!</t>
      </text>
    </comment>
    <comment authorId="0" ref="W50">
      <text>
        <t xml:space="preserve">ВО ВРЕМЯ УЛЬТЫ</t>
      </text>
    </comment>
    <comment authorId="0" ref="X50">
      <text>
        <t xml:space="preserve">АКТ.Б. - ВЗРЫВАЕТ БУТОНЫ РАНЬШЕ ВРЕМЕНИ ЧЕРЕЗ ЕШКУ, УЛЬТ И С6</t>
      </text>
    </comment>
    <comment authorId="0" ref="E51">
      <text>
        <t xml:space="preserve">РОТАЦИЯ:
ЕШКА - УЛЬТА - (2 УДАРА - ПУШКА) х4</t>
      </text>
    </comment>
    <comment authorId="0" ref="T51">
      <text>
        <t xml:space="preserve">ЧАТИЦЫ ДАЮТСЯ ЗА ПЕРВЫЙ ВЫСТРЕЛ ПУШКИ.
ОБЫЧНЫЕ ВЫСТРЕЛЫ АРБАЛЕТА НЕ ДАЮТ ЧАСТИЦ!!!</t>
      </text>
    </comment>
    <comment authorId="0" ref="U51">
      <text>
        <t xml:space="preserve">РОТАЦИЯ⏰:
ЕШКА - УЛЬТА
☘️☘️☘️
ЕШКА ВЫСТРЕЛ 16 УДАРОВ - 5 СС (ЛИМИТ 1 СС в 2 сек.)
---
ЕШКА ПУШКА 4 УДАРА - 4 СС
УЛЬТА НАЖАТИЕ - 1 СС
---
УЛЬТА КАРМАН 7 УДАРОВ - 6 СС (ЛИМИТЫ ЕСТЬ НО ОНИ ПОЧТИ НЕ МЕШАЮТ)
РОТАЦИЯ: 16 СС
</t>
      </text>
    </comment>
    <comment authorId="0" ref="W51">
      <text>
        <t xml:space="preserve">ВО ВРЕМЯ ЕШКИ
0 - ВО ВРЕМЯ КАСТА ПУШКИ</t>
      </text>
    </comment>
    <comment authorId="0" ref="X51">
      <text>
        <t xml:space="preserve">ИМЕЕТ КРЮК-КОШКУ В ЕШКЕ
ВО ВРЕМЯ ЕШКИ, ГОРЕНИЕ НА ВРАГЕ, ТАК ЖЕ ДАМАЖИТ И НАС!</t>
      </text>
    </comment>
    <comment authorId="0" ref="E52">
      <text>
        <t xml:space="preserve">РОТАЦИЯ:
ЕШКА - УЛЬТА</t>
      </text>
    </comment>
    <comment authorId="0" ref="G52">
      <text>
        <t xml:space="preserve">РОТАЦИЯ:
ЕШКА 2 ТИКА -  ЕШКА - УЛЬТА</t>
      </text>
    </comment>
    <comment authorId="0" ref="Q52">
      <text>
        <t xml:space="preserve">С6. УЛЬТА ИЛИ ЕШКА, ДАЁТ 12% АФФИКСА ВСЕХ СТИХИЙ НА 15 сек.</t>
      </text>
    </comment>
    <comment authorId="0" ref="S52">
      <text>
        <t xml:space="preserve">18к ЩИТ В ФУЛЛ ХП С ФАВОНИЕМ
21к ЩИТ С ФУЛЛ ХП С КЛЮЧ ХАДЖИ</t>
      </text>
    </comment>
    <comment authorId="0" ref="T52">
      <text>
        <t xml:space="preserve">БЫСТРЫЙ УДАР КОГТЕЙ ДАЁТ 3 ЧАСТИЦЫ
КАСАНИЕ В ДОЛГОЙ ЕШКЕ ДАЁТ 1 ЧАСТИЦУ РАЗ В 4 сек.
В ЕШКЕ МЫ ДОЛГО НЕ КАТАЕМСЯ, А ЗНАЧИТ 1 ЧАСТИЦУ ПОЛУЧИЛИ + 3 С ФИНАЛЬНОГО УДАРА</t>
      </text>
    </comment>
    <comment authorId="0" ref="U52">
      <text>
        <t xml:space="preserve">РОТАЦИЯ:
ЕШКА 2 ТИКА -  ЕШКА - УЛЬТА
☘️☘️☘️
ЕШКА 2 ТИКА - 1 СС (ЛИМИТ)
ЕШКА УДАР - 1 СС
УЛЬТА НАЖАТИЕ - 2 СС
УЛЬТА КАРМАН - 2 СС (УДАРОВ МНОГО, НО ЛИМИТЫ)
С4 - 3 СС (3 УДАРА ЗА ЩИТ)
РОТАЦИЯ: 9 СС</t>
      </text>
    </comment>
    <comment authorId="0" ref="X52">
      <text>
        <t xml:space="preserve">МОБ - ПЕРЕМЕЩАЕТ БЫСТРЕЙ В ЕШКЕ
---
СЕМЕНА УЛЬТЫ ФИКСИРУЮТ БАФФЫ ПРИ ПОЯВЛЕНИИ</t>
      </text>
    </comment>
    <comment authorId="0" ref="E53">
      <text>
        <t xml:space="preserve">РОТАЦИЯ:
ЕШКА - УЛЬТА</t>
      </text>
    </comment>
    <comment authorId="0" ref="Q53">
      <text>
        <t xml:space="preserve">С4. УЛЬТ ДАЁТ 60 МС ВСЕМ, КРОМЕ САМОЙ КОЛЛЕИ! 
НА 12 сек.</t>
      </text>
    </comment>
    <comment authorId="0" ref="T53">
      <text>
        <t xml:space="preserve">3 - ДАЁТ ЕШКА
6 - ЦЕРЕМОНИЯ (ДВЕ ЕШКИ)</t>
      </text>
    </comment>
    <comment authorId="0" ref="U53">
      <text>
        <t xml:space="preserve">РОТАЦИЯ:
ЕШКА - УЛЬТА
☘️☘️☘️
ЕШКА 2 УДАРА - 2 СС
ПАСИВ. ЕШКА - 4 СС (4 УДАРА)
---
УЛЬТА ВЗРЫВ - 1 СС (ВЗРЫВ И КАРМАН ИМЕЮТ ОБЩИЙ ОТКАТ)
---
УЛЬТА КАРМАН - 3 СС (УДАРОВ 18! НО ЛИМИТЫ ДИКИЕ...)
---
С6 - 1 СС
РОТАЦИЯ: 11 СС</t>
      </text>
    </comment>
    <comment authorId="0" ref="X53">
      <text>
        <t xml:space="preserve">ЕШКА И УЛЬТА ФИКСИРУЮТ БАФФЫ ПРИ ПОЯВЛЕНИИ</t>
      </text>
    </comment>
    <comment authorId="0" ref="E54">
      <text>
        <t xml:space="preserve">РОТАЦИЯ:
БЫСТРАЯ ЕШКА - УЛЬТ</t>
      </text>
    </comment>
    <comment authorId="0" ref="G54">
      <text>
        <t xml:space="preserve">РОТАЦИЯ:
ДОЛГАЯ ЕШКА - УЛЬТ</t>
      </text>
    </comment>
    <comment authorId="0" ref="Q54">
      <text>
        <t xml:space="preserve">ЕШКА С КАРМАНА ДАЁТ -25% ПОРЕЗКИ ☘️\💧
УЛЬТА ДАЁТ ЧИСТУЮ ПРИБАВКУ В УРОН ВСЕХ БУТОНОВ. ВАРИРУЕТСЯ ПРИБАВКА ОТ 4к до 7к
ЗАВИСИТ ОТ МС ЛАУМЫ
П1. ДАЁТ 15% ШК и 100% КУ ВО ВСЕ БУТОНЫ! КУ НЕ СУММИРУЕТСЯ С С2 НАХИДЫ!
---
ЕСЛИ ВПАЧКЕ БУДЕТ 2+ НОДКРАЕВЦА БУДЕТ 10% ШК и 20% КУ В ЛУН. БУТОНЫ!
А ПЕРВЫЙ БАФФ НА БУТОНЫ ПРОПАДЁТ!
П3. УСИЛЯЕТ ЛУН. БУТОНЫ НА 14% В ЗАВИСИМОСТИ ОТ МС ЛАУМЫ. 
ПИК БАФФА НА 800 МС
</t>
      </text>
    </comment>
    <comment authorId="0" ref="T54">
      <text>
        <t xml:space="preserve">ДАЁТ 1 ЧАСТИЦУ КАЖДЫЙ ВТОРОЙ УДАР ЕШКИ С КАРМАНА</t>
      </text>
    </comment>
    <comment authorId="0" ref="U54">
      <text>
        <t xml:space="preserve">РОТАЦИЯ:
ДОЛГАЯ ЕШКА - УЛЬТ
☘️☘️☘️
ДОЛГАЯ ЕШКА - 0 СС
ЕШКА КАРМАН - 7 СС (7 УДАРОВ)
РОТАЦИЯ: 7 СС</t>
      </text>
    </comment>
    <comment authorId="0" ref="X54">
      <text>
        <t xml:space="preserve">ПРЫГАЕТ В ЗАРЯЖКЕ
ДОБАВЛЯЕТ ЛУН. БУТОНЫ</t>
      </text>
    </comment>
    <comment authorId="0" ref="E55">
      <text>
        <t xml:space="preserve">РОТАЦИЯ:
БЫСТРАЯ ЕШКА - УЛЬТА</t>
      </text>
    </comment>
    <comment authorId="0" ref="G55">
      <text>
        <t xml:space="preserve">РОТАЦИЯ:
ДОЛГАЯ ЕШКА - УЛЬТА</t>
      </text>
    </comment>
    <comment authorId="0" ref="L55">
      <text>
        <t xml:space="preserve">РОТАЦИЯ СВОЯ, ВЕДЬ КАТИЛИК МОЖЕТ СТОЯТЬ ВЕЧНО И НАКЛАДЫВАТЬ СТАТУС. НО ОНА БОЛЬШЕ 8 сек. НА ПОЛЕ НЕ СТОИТ...</t>
      </text>
    </comment>
    <comment authorId="0" ref="Q55">
      <text>
        <t xml:space="preserve">П1. ДАЁТ МС ВО ВРЕМЯ УЛЬТЫ АКТИВНОМУ ПЕРСОНАЖУ.
БАФФ ЗАВИСИТ ОТ МС ПЕРСА, У КОТОРОГО БОЛЬШЕ ВСЕГО МС
1000 МС = 250 МС АКТИВНОМУ 
800 МС = 200 МС АКТИВНОМУ
500 МС = 125 МС АКТИВНОМУ
ЛИМИТ В 250 МС АКТИВНОМУ</t>
      </text>
    </comment>
    <comment authorId="0" ref="T55">
      <text>
        <t xml:space="preserve">ТРИКАРМА ДАЁТ 3 ЧАСТИЦЫ РАЗ В 7 сек.
ТРИКАРМА ПРОКАЕТ ПОСТОЯННО И РОТАЦИЯ ДЛИТЬСЯ 20 сек.
А ЗНАЧИТ 9 ЧАСТИЦ ПОЛУЧИМ</t>
      </text>
    </comment>
    <comment authorId="0" ref="U55">
      <text>
        <t xml:space="preserve">РОТАЦИЯ:
БЫСТРАЯ ЕШКА - УЛЬТА
☘️☘️☘️
ЕШКА НАЖАТИЕ - 1 СС
ЕШКА КАРМАН - 13,5 СС 
(9 УДАРОВ)
РОТАЦИЯ: 14,5 СС</t>
      </text>
    </comment>
    <comment authorId="0" ref="W55">
      <text>
        <t xml:space="preserve">КАСТ ЕШКИ</t>
      </text>
    </comment>
    <comment authorId="0" ref="X55">
      <text>
        <t xml:space="preserve">20 сек. Р. - РОТАЦИЯ НАХИДЫ В РАМКАХ ТАБЛИЦЫ ДЛИТСЯ 18 СЕКУНД
ТАК ЖЕ ЗА СЧЁТ П3. СОБИРАЕТ РАСТЕНИЯ ЕШКОЙ</t>
      </text>
    </comment>
    <comment authorId="0" ref="G56">
      <text>
        <t xml:space="preserve">РОТАЦИЯ:
ЕШКА - ЗАРЯЖЕН х3 - ЕШКА - ЗАРЯЖЕН х3</t>
      </text>
    </comment>
    <comment authorId="0" ref="Q56">
      <text>
        <t xml:space="preserve">П3. УСИЛЯЕТ ЛУН. БУТОНЫ НА 14% В ЗАВИСИМОСТИ ОТ МС НЕФЕР.
ПИК БАФФА НА 800 МС</t>
      </text>
    </comment>
    <comment authorId="0" ref="U56">
      <text>
        <t xml:space="preserve">РОТАЦИЯ:
ЕШКА - ЗАРЯЖЕН х3 - ЕШКА - ЗАРЯЖЕН х3
☘️☘️☘️
ЕШКА - 2 СС (2 УДАРА)
---
ЗАРЯЖЕН х6 - 6 СС (КУЧА УДАРОВ, НО ЛИМИТЫ)
ТЕНИ НЕ ИМЕЮТ СТАТУСА
РОТАЦИЯ: 8 СС</t>
      </text>
    </comment>
    <comment authorId="0" ref="X56">
      <text>
        <t xml:space="preserve">ДОБАВЛЯЕТ ЛУН. БУТОН</t>
      </text>
    </comment>
    <comment authorId="0" ref="E57">
      <text>
        <t xml:space="preserve">РОТАЦИЯ:
ЕШКА - УЛЬТА - 3 ЗАРЯЖЕННЫХ</t>
      </text>
    </comment>
    <comment authorId="0" ref="T57">
      <text>
        <t xml:space="preserve">ЕШКА ДАЁТ - 3.5 ЧАСТИЦЫ</t>
      </text>
    </comment>
    <comment authorId="0" ref="U57">
      <text>
        <t xml:space="preserve">РОТАЦИЯ:
ЕШКА - ЗАРЯЖЕННАЯ - УЛЬТА - ЗАРЯЖЕННАЯ 2 РАЗА
☘️☘️☘️
ЕШКА - 1 СС
УЛЬТА - 4 СС (ХОТЬ УДАРОВ 12, НО ЛИМИТЫ)
---
СТРЕЛА ВЕНЕЦ - 3 СС
---
СТРЕЛА СОЦВЕТИЙ - 3 СС (ХОТЬ УДАРОВ 12, НО ЛИМИТЫ)
(ГДЕ ЭТО Я УЖЕ ЭТО ПИСАЛ...)
РОТАЦИЯ: 11 СС</t>
      </text>
    </comment>
    <comment authorId="0" ref="E58">
      <text>
        <t xml:space="preserve">РОТАЦИЯ:
ЕШКА</t>
      </text>
    </comment>
    <comment authorId="0" ref="G58">
      <text>
        <t xml:space="preserve">РОТАЦИЯ:
ЕШКА - УЛЬТА
НО НА САМОМ ДЕЛЕ УЛЬТА НАЖИМАЕТСЯ УЖЕ В ОТДЕЛЬНОЙ РОТАЦИИ. ПОЭТОМУ ЧАЩЕ ВСЕГО МЫ НАЖИМАЕМ ИЛИ ЕШКУ, ИЛИ УЛЬТ</t>
      </text>
    </comment>
    <comment authorId="0" ref="S58">
      <text>
        <t xml:space="preserve">8к ЭТО ПРИМЕРНОЕ КОЛИЧЕСТВО УРОНА ОТ ГОРЕНИЕ, КОТОРОЕ ПОГЛОЩАЕТ ЭМИЛИЯ.</t>
      </text>
    </comment>
    <comment authorId="0" ref="T58">
      <text>
        <t xml:space="preserve">ЕШКА ДАЁТ 1 ЧАСТИЦУ РАЗ В 2.5сек.
РОТАЦИЯ ДЛИТСЯ 18 сек
А ЗНАЧИТ 6 ЧАСТИЦ, ПОТОМУ ЧТО НАДО УЧИТЫВАТЬ ЕЩЁ ПАУЗЫ МЕЖДУ УДАРАМИ</t>
      </text>
    </comment>
    <comment authorId="0" ref="U58">
      <text>
        <t xml:space="preserve">РОТАЦИЯ:
ЕШКА - УЛЬТА
☘️☘️☘️
ЕШКА НАЖАТИЕ - 1 СС
ЕШКА КАРМАН - 9 СС (УДАРОВ 18, НО ЛИМИТ 1 СС РАЗ В 2 сек.)
---
ЕШКА ПУШКА 3 УДАРА - 3 СС
УЛЬТА - 3 СС (3 УДАРА)
РОТАЦИЯ: 16 СС</t>
      </text>
    </comment>
    <comment authorId="0" ref="X58">
      <text>
        <t xml:space="preserve">РОТАЦИЯ В ТАБЛИЦЕ ДЛИТСЯ 18 сек.
УМЕНЬШАЕТ УРОН ОТ ГОРЕНИЯ НА 85%</t>
      </text>
    </comment>
    <comment authorId="0" ref="E59">
      <text>
        <t xml:space="preserve">РОТАЦИЯ:
ЕШКА</t>
      </text>
    </comment>
    <comment authorId="0" ref="G59">
      <text>
        <t xml:space="preserve">РОТАЦИЯ:
УЛЬТА ФУЛЛ - ЕШКА</t>
      </text>
    </comment>
    <comment authorId="0" ref="Q59">
      <text>
        <t xml:space="preserve">С1. ДАЁТ 15% ДЕНДРО АФФИКСА ПЕРСОНАЖУ, КОТОРЫЙ ПОЛУЧИЛ ХИЛЛ.
ДЛИТЬСЯ 8 сек. БАФФ
РЕГЕНЕРАЦИЯ БАФФ НЕ АКТИВИРУЕТ</t>
      </text>
    </comment>
    <comment authorId="0" ref="R59">
      <text>
        <t xml:space="preserve">ЕШКА ХИЛИТ КАЖДЫМ ТИКОМ 2,3к. ТИКОВ 10 = 23к
---
С6 - БОЛЬШАЯ РЕДЬКА ХИЛИТ 3,5к 2 РАЗА = 7к
---
РЕГЕНАРАЦИЯ - 370 ЗА ТИК. ТИКОВ БУДЕТ 14 ЗА ЕШКУ = 5,2к
---
УЛЬТА ХИЛИТ 2,7к ЗА ТИК ВСЕМ. ТИКОВ БУДЕТ 9 = 24,3к ВСЕМ!
УЛЬТА СУММАРНО ХИЛИТ = 97,2к
---
ЕСЛИ ВЫ НАЖМЁТЕ УЛЬТУ, А ЗАТЕМ ЕШКУ. ВЫ СУММАРНО ПОХИЛИТЕ 132,4к
---
ЕСЛИ КИНЕТЕ ЕШКУ ПОД УЛЬТУ, ТО ХИЛ ВООБЩЕ БУДЕТ ЗА 150к+</t>
      </text>
    </comment>
    <comment authorId="0" ref="T59">
      <text>
        <t xml:space="preserve">6 - ЕШКА ДАЁТ ЧАСТИЦЫ КАЖДЫЕ 1,5 сек. ЕШКА ДЛИТЬСЯ 10 сек.
(18Е) - ЗАЛИВКА СЕБЕ ВО ВРЕМЯ ФУЛЛ УЛЬТЫ С С2</t>
      </text>
    </comment>
    <comment authorId="0" ref="U59">
      <text>
        <t xml:space="preserve">РОТАЦИЯ:
УЛЬТА - ЕШКА
☘️☘️☘️
УЛЬТА АКТИВАЦИЯ - 1 СС
УЛЬТА РЕДЬКИ - 4 СС (ХОТЯ УДАРОВ МНОГО , НО КАК ВСЕГДА ЛИМИТЫ)
---
ЕШКА КАРМАН - 4 СС (УДАРОВ 10, НО СТАТУС ТОЛЬКО 1 РАЗ В 2,5 сек.)
С6 - 2 СС (2 УДАРА)
РОТАЦИЯ: 11 СС</t>
      </text>
    </comment>
    <comment authorId="0" ref="X59">
      <text>
        <t xml:space="preserve">ВЫН+ - ВОССТАНАВЛИВАЕТ ВЫНОСЛИВОСТЬ ПЕРСОНАЖЕЙ
---
ЕШКА ФИКСИРУЕТ БАФФЫ ПРИ ПОЯВЛЕНИИ. КАЖДЫЙ ПОКЕМОН В УЛЬТЕ ФИКСИРУЕТ БАФФЫ ПРИ ПОЯВЛЕНИИ
</t>
      </text>
    </comment>
    <comment authorId="0" ref="E60">
      <text>
        <t xml:space="preserve">РОТАЦИЯ:
РЫВОК - ЕШКА - УЛЬТ</t>
      </text>
    </comment>
    <comment authorId="0" ref="G60">
      <text>
        <t xml:space="preserve">РОТАЦИЯ:
ДЭШ - УЛЬТ - ЕШКА - 4 УДАРА - ЗАРЯЖЕННАЯ - РЫВОК - 3 УДАРА - ЗАРЯЖЕННАЯ</t>
      </text>
    </comment>
    <comment authorId="0" ref="T60">
      <text>
        <t xml:space="preserve">ЕШКА ДАЁТ 4.5 ЧАСТИЦЫ</t>
      </text>
    </comment>
    <comment authorId="0" ref="U60">
      <text>
        <t xml:space="preserve">РОТАЦИЯ:
РЫВОК - УЛЬТ - ЕШКА - 4 УДАРА - ЗАРЯЖЕННАЯ - РЫВОК - 3 УДАРА - ЗАРЯЖЕННАЯ
☘️☘️☘️
УЛЬТА ПОРЕЗЫ - 6 СС 
(УДАРОВ 14, НО ЛИМИТЫ НЕ ДАЮТ БОЛЬШЕ СС)
УЛЬТА ЦВЕТЕНИЕ - 1 СС
---
ЕШКА - 2 СС
---
УДАРЫ - 4 СС (УДАРОВ 7, НО ЛИМИТ)
ЗАРЯЖЕННАЯ - 4 СС(УДАРОВ 6, НО ЛИМИТ)
---
ДЭШ 2 РАЗА - 2 СС
---
ПРОБЛЕМА АЯКИ В ТОМ, ЧТО У НЕЁ СЛИШКОМ МНОГО СТАТУСА ДЛЯ ТАКОЙ КРАТКОЙ РОТАЦИИ. ИЗ-ЗА ЧЕГО РЕАКЦИЙ НЕМНОГО...
РОТАЦИЯ: 19 СС</t>
      </text>
    </comment>
    <comment authorId="0" ref="X60">
      <text>
        <t xml:space="preserve">УЛЬТА ФИКСИРУЕТ БАФФЫ  В КОНЦЕ АНИМАЦИИ КАТ- СЦЕНЫ</t>
      </text>
    </comment>
    <comment authorId="0" ref="E61">
      <text>
        <t xml:space="preserve">РОТАЦИЯ:
ЕШКА - УЛЬТА</t>
      </text>
    </comment>
    <comment authorId="0" ref="G61">
      <text>
        <t xml:space="preserve">РОТАЦИЯ:
ЕШКА - УЛЬТА - 3 ЗАРЯЖЕННЫЕ</t>
      </text>
    </comment>
    <comment authorId="0" ref="Q61">
      <text>
        <t xml:space="preserve">П2. ДАЁТ 20% КРИО АФФИКСА АКТИВНОМУ ПЕРСУ В ОБЛАСТИ УЛЬТЫ</t>
      </text>
    </comment>
    <comment authorId="0" ref="T61">
      <text>
        <t xml:space="preserve">ЕШКА ПРИ АКТИВАЦИИ ДАЁТ 2 ЧАСТИЦЫ А ЗЕТЕМ ПОСЛЕ ВЗРЫВА ЕЩЁ 2 ЧАСТИЦЫ</t>
      </text>
    </comment>
    <comment authorId="0" ref="U61">
      <text>
        <t xml:space="preserve">РОТАЦИЯ:
ЕШКА - УЛЬТА - 3 ЗАРЯЖЕННЫЕ
☘️☘️☘️
ЕШКА - 2 СС (2 УДАРА)
ЗАРЯЖ. - 6 СС (6 УДАРОВ)
УЛЬТА - 7 СС (15 УДАРОВ, НО ЛИМИТ)
РОТАЦИЯ: 15 СС</t>
      </text>
    </comment>
    <comment authorId="0" ref="X61">
      <text>
        <t xml:space="preserve">УЛЬТА ФИКСИРУЕТ БАФФЫ  В КОНЦЕ АНИМАЦИИ</t>
      </text>
    </comment>
    <comment authorId="0" ref="E62">
      <text>
        <t xml:space="preserve">РОТАЦИЯ:
ДОЛГАЯ ЕШКА - УЛЬТА</t>
      </text>
    </comment>
    <comment authorId="0" ref="G62">
      <text>
        <t xml:space="preserve">РОТАЦИЯ:
ДОЛГАЯ ЕШКА - УЛЬТА - ДОЛГАЯ ЕШКА</t>
      </text>
    </comment>
    <comment authorId="0" ref="Q62">
      <text>
        <t xml:space="preserve">С6 ДАЁТ 200 МС АКТИВНОМУ ПЕРСОНАЖУ В ОБЛАСТИ УЛЬТЫ.
РАБОТАЕМ ПРИ ХП ВЫШЕ 50%</t>
      </text>
    </comment>
    <comment authorId="0" ref="R62">
      <text>
        <t xml:space="preserve">УЛЬТА ХИЛИТ 5,8к ЗА ТИК
ТИКОВ 6
ВСЕГО = 34,8</t>
      </text>
    </comment>
    <comment authorId="0" ref="S62">
      <text>
        <t xml:space="preserve">ЩИТ 12к В ФУЛЛ ХП И С ДОЛГОЙ ЕШКИ. ТО ЕСТЬ 12к ЭТО ПИК!
ЧАЩЕ БУДЕТ МЕНЬШЕ У ВАС!</t>
      </text>
    </comment>
    <comment authorId="0" ref="T62">
      <text>
        <t xml:space="preserve">4 - ЕШКА
(8) - ЦЕРЕМОНИЯ(ДВЕ ЕШКИ)
НА САМОМ ДЕЛЕ ЕШКА ДАЁТ 0,8 ЧАСТИЦ ЗА УДАР, УДАРОВ 3 ИЛИ 5. У НАС ВСЕГДА 5, ВЕДЬ БЫСТРАЯ ЕШКА ТАКОЕ СЕБЕ...</t>
      </text>
    </comment>
    <comment authorId="0" ref="U62">
      <text>
        <t xml:space="preserve">РОТАЦИЯ:
ДОЛГАЯ ЕШКА - УЛЬТА
☘️☘️☘️
ДОЛГАЯ ЕШКА - 2 СС (ХОТЯ УДАРОВ 5, НО ЛИМИТ)
---
УЛЬТА АКТИВАЦИЯ - 1 СС
УЛЬТА КАРМАН 6 РАЗ - 6 СС
РОТАЦИЯ: 9 СС</t>
      </text>
    </comment>
    <comment authorId="0" ref="X62">
      <text>
        <t xml:space="preserve">УЛЬТА ПРИ КАСАНИИ ПОНИМАЖЕТ АТАКУ ВРАГА
НАКЛАДЫВАЕТ КРИО НА СЕБЯ ПОСЛЕ ЕШКИ</t>
      </text>
    </comment>
    <comment authorId="0" ref="E63">
      <text>
        <t xml:space="preserve">РОТАЦИЯ:
ЕШКА - УЛЬТА</t>
      </text>
    </comment>
    <comment authorId="0" ref="R63">
      <text>
        <t xml:space="preserve">ЕШКА ХИЛИТ 300 ХП</t>
      </text>
    </comment>
    <comment authorId="0" ref="S63">
      <text>
        <t xml:space="preserve">КОГДА ХП ПАДАЕТ НИЖЕ 20% ХП, МЫ ПОЛУЧАЕМ ЩИТ НА 6к</t>
      </text>
    </comment>
    <comment authorId="0" ref="T63">
      <text>
        <t xml:space="preserve">2.6 - ЕШКА
(4.6) - П2 ПО ЗАМОРОЗКЕ</t>
      </text>
    </comment>
    <comment authorId="0" ref="U63">
      <text>
        <t xml:space="preserve">РОТАЦИЯ:
ЕШКА - УЛЬТА
☘️☘️☘️
ЕШКА - 2 СС
УЛЬТА - 10 СС (УДАРОВ 20, НО ЛИМИТЫ МЕШАЮТ)
РОТАЦИЯ: 12 СС</t>
      </text>
    </comment>
    <comment authorId="0" ref="W63">
      <text>
        <t xml:space="preserve">ВО ВРЕМЯ ТЕЛЕПОРТА ПОСЛЕДНЕГО УДАРА</t>
      </text>
    </comment>
    <comment authorId="0" ref="X63">
      <text>
        <t xml:space="preserve">УЛЬТА ФИКСИРУЕТ БАФФЫ В МОМЕНТ ПОЯВЛЕНИЯ ЛЕДЫШЕК</t>
      </text>
    </comment>
    <comment authorId="0" ref="E64">
      <text>
        <t xml:space="preserve">РОТАЦИЯ:
ЕШКА</t>
      </text>
    </comment>
    <comment authorId="0" ref="G64">
      <text>
        <t xml:space="preserve">РОТАЦИЯ:
ЕШКА - УЛЬТА</t>
      </text>
    </comment>
    <comment authorId="0" ref="Q64">
      <text>
        <t xml:space="preserve">С4. ДАЁТ БАФФ БАЗОВОГО УРОНА ОБЫЧНЫХ И ЗАРЯЖЕН. ПОД ЩИТОМ.
БАФФ ЗАВИСИТ ОТ ХП ЛАЙЛЫ
40к ХП = 2000 БУ ВСЕМ
30к ХП = 1500 БУ ВСЕМ
20к ХП = 1000 БУ ВСЕМ
ВСЕГО БУДЕТ 3 АКТИВАЦИИ!
ЗА КАЖДЫЙ ЗАЛП ЕШКИ
⛔️БАФФ БОЛЬШЕ ПОД КООП!⛔️
БУ - БАЗОВЫЙ УРОН</t>
      </text>
    </comment>
    <comment authorId="0" ref="S64">
      <text>
        <t xml:space="preserve">ЕЁ КРЕПКОСТЬ ЩИТА СТАБИЛЬНА. ПОТОМУ НЕ ВО ЧТО СОБИРАТЬ, КРОМЕ ФУЛЛ ХП
НО С КЛЮЧЁМ ХАДЖИ МОЖНО И 24к ЩИТ ПОЛУЧИТЬ</t>
      </text>
    </comment>
    <comment authorId="0" ref="T64">
      <text>
        <t xml:space="preserve">ЕШКА МОЖЕТ ДАВАТЬ 1.33 ЧАСТИЦЫ КАЖДЫЕ 3 сек. 
 ТОЛЬКО ВОТ ЕШКА ДАЁТ ЧАСТИЦЫ ТОЛЬКО ОТ КАСАНИЕ ЗВЁЗД. 
 А КАСТУЮТСЯ ЗВЁЗДЫ ДОСТАТОЧНО РЕДКО. И ЛИМИТ НЕ ОЧЕНЬ КАЧЕСТВЕННО ВПИСЫВАЕТСЯ В РАМКИ ЧАСТОТЫ ЗВЕЗД</t>
      </text>
    </comment>
    <comment authorId="0" ref="U64">
      <text>
        <t xml:space="preserve">РОТАЦИЯ⌛: 
ЕШКА - УЛЬТА
☘️☘️☘️
ЕШКА НАЖАТИЕ - 1 СС
---
ЕШКА КАРМАН - 3 СС (КАЖДЫЙ ЗАЛП НАКЛАДЫВАЕТ 1 СС, А ЗАЛПОВ 3 ШТУКИ)
---
УЛЬТА КАРМАН 12 УДАРОВ - 6 СС (ЛИМИТЫ)
РОТАЦИЯ: 10 СС</t>
      </text>
    </comment>
    <comment authorId="0" ref="X64">
      <text>
        <t xml:space="preserve">УЛЬТА ФИКСИРУЕТ БАФФЫ ПРИ ПОЯВЛЕНИИ
ЕШКА НАКЛАДЫВАЕТ КРИО СТАТУС ПРИ НАЖАТИЕ!</t>
      </text>
    </comment>
    <comment authorId="0" ref="E65">
      <text>
        <t xml:space="preserve">РОТАЦИЯ:
ДОЛГАЯ ЕШКА - УЛЬТА</t>
      </text>
    </comment>
    <comment authorId="0" ref="Q65">
      <text>
        <t xml:space="preserve">ЕШКА ДАЁТ СКОРОСТЬ АТАКИ!
10 ЛВЛ \ 13 ЛВЛ
22% \ 25%
П1. ДАЁТ ФИЗ. АФФИКС ВСЕМ ПОСЛЕ ЕШКИ!
П2.ДАЁТ +1 СТАК В П1
С6.ДАЁТ + 1 СТАК В П1, 
А ТАК ЖЕ ПОД БАФФОМ П1 УВЕЛИЧИВАЕТ 
КРИТ. ФИЗ НА 60%
БАФФ П1 ЗАВИСИТ ОТ СТАКОВ:
5 СТАКОВ = 50% ФИЗ. ВСЕМ
3 СТАКОВ = 30% ФИЗ. ВСЕМ
1 СТАК = 10% ФИЗ. ВСЕМ
</t>
      </text>
    </comment>
    <comment authorId="0" ref="R65">
      <text>
        <t xml:space="preserve">УЛЬТА ПРИ НАЖАТИИ ХИЛИТ 16к КАЖДОМУ х4 = 64к
А ЗАТЕМ АКТИНОМУ ПО 3,2к 9 РАЗ
ВСЕГО 64к + 28,2к = 94,2к</t>
      </text>
    </comment>
    <comment authorId="0" ref="T65">
      <text>
        <t xml:space="preserve">4 - ЕШКА
15Е - СОЗВЕЗДИЕ С4 ДАЁТ АКТИВНОМУ ПЕРСОНАЖУ</t>
      </text>
    </comment>
    <comment authorId="0" ref="U65">
      <text>
        <t xml:space="preserve">РОТАЦИЯ:
ЕШКА - УЛЬТ
☘️☘️☘️
ЕШКА АКТИВАЦИЯ - 1 СС
ЕШКА ЗВЕЗДА - 1 СС
РОТАЦИЯ: 2 СС</t>
      </text>
    </comment>
    <comment authorId="0" ref="E66">
      <text>
        <t xml:space="preserve">РОТАЦИЯ:
ЕШКА - (3 УДАРА \ ЗАРЯЖЕННАЯ) х5</t>
      </text>
    </comment>
    <comment authorId="0" ref="G66">
      <text>
        <t xml:space="preserve">РОТАЦИЯ:
ЕШКА - (3 УДАРА \ ЗАРЯЖЕННАЯ) х5 - УЛЬТА</t>
      </text>
    </comment>
    <comment authorId="0" ref="R66">
      <text>
        <t xml:space="preserve">ЗАРЯЖЕННАЯ ХИЛИТ 6.5к
В СРЕДНЕМ НА С0 БУДЕТ 2 ЗАРЯЖКИ УСИЛЕНЫ. ТО ЕСТЬ 13к</t>
      </text>
    </comment>
    <comment authorId="0" ref="T66">
      <text>
        <t xml:space="preserve">ВО ВРЕМЯ ЕШКИ МЫ ПОЛУЧАЕМ 1  ЧАСТИЦУ КАЖДЫЕ 2 сек. В СТОЙКЕ МЫ БУДЕМ 9 сек
ЗНАЧИ 4 ЧАСТИЦЫ</t>
      </text>
    </comment>
    <comment authorId="0" ref="U66">
      <text>
        <t xml:space="preserve">РОТАЦИЯ:
ЕШКА - (3 УДАРА \ ЗАРЯЖЕННАЯ) х5 - УЛЬТА
☘️☘️☘️
УДАРЫ - 7 СС (15 УДАРОВ, НО ЛИМИТЫ)
---
ЗАРЯЖЕННЫЕ - 5 СС (5 УДАРОВ)
---
УЛЬТА - 2 СС (5 УДАРОВ, НО ЛИМИТ)
РОТАЦИЯ:  14 СС</t>
      </text>
    </comment>
    <comment authorId="0" ref="W66">
      <text>
        <t xml:space="preserve">ВО ВРЕМЯ ЕШКИ
ТУТ В ОТЛИЧИИ ОТ ТОРТА НАМ ДАЛИ СТОЙКОСТЬ БЛИЖНИКА СРАЗУ. ТАК ЧТО ТОЛК ЕСТЬ!</t>
      </text>
    </comment>
    <comment authorId="0" ref="E67">
      <text>
        <t xml:space="preserve">РОТАЦИЯ:
ЕШКА - УЛЬТА</t>
      </text>
    </comment>
    <comment authorId="0" ref="Q67">
      <text>
        <t xml:space="preserve">П2. ДАЁТ ШК ВСЕМ ПОСЛЕ УЛЬТЫ НА 10 сек.
БАФФ ЗАВИСИТ ОТ ШК РОЗЫ
100% ШК = 15% ШК ВСЕМ
85% ШК = 12,75% ШК ВСЕМ
70% ШК =10,5% ШК ВСЕМ
С6. ПОНИЖАЕТ ФИЗ. РЕЗИСТ НА 20% ПОСЛЕ КАСАНИЯ УЛЬТЫ НА 10 сек.</t>
      </text>
    </comment>
    <comment authorId="0" ref="T67">
      <text>
        <t xml:space="preserve">3 - ЕШКА
5Е - СОЗВЕЗДИЕ С4</t>
      </text>
    </comment>
    <comment authorId="0" ref="U67">
      <text>
        <t xml:space="preserve">РОТАЦИЯ:
ЕШКА - УЛЬТА
☘️☘️☘️
ЕШКА - 2 СС (2 УДАРА)
УЛЬТА АКТИВАЦИЯ - 1 СС(2 УДАРА И ЛИМИТЫ)
---
УЛЬТА КАРМАН - 5 СС (6 УДАРОВ, НО ПЕРВЫЙ УДАР НЕ АКТИВИРУЕТ РЕАКЦИИ, ИЗ-ЗА ЛИМИТОВ ОБЩИХ С АКТИВАЦИЕЙ)
РОТАЦИЯ: 8 СС</t>
      </text>
    </comment>
    <comment authorId="0" ref="W67">
      <text>
        <t xml:space="preserve">ВО ВРЕМЯ ПРЫЖКА ЕШКИ</t>
      </text>
    </comment>
    <comment authorId="0" ref="X67">
      <text>
        <t xml:space="preserve">УЛЬТА ФИКСИРУЕТ БАФФЫ ПРИ ПОЯВЛЕНИИ
МОБ - НОЧЬЮ БЫСТРЕЙ БЕГАЕШЬ</t>
      </text>
    </comment>
    <comment authorId="0" ref="E68">
      <text>
        <t xml:space="preserve">РОТАЦИЯ:
ЕШКА</t>
      </text>
    </comment>
    <comment authorId="0" ref="G68">
      <text>
        <t xml:space="preserve">РОТАЦИЯ:
ЕШКА - УЛЬТА</t>
      </text>
    </comment>
    <comment authorId="0" ref="Q68">
      <text>
        <t xml:space="preserve">П1. ПОНИЖАЕТ 20% 🔥 и 💧 РЕЗИСТА НА 12 сек. ВО ВРЕМЯ ЕШКИ.
ПОКА ЕШКА ЕСТЬ, БАФФ АКТИВИРУЕТСЯ. КОРОЧЕ ВЕЧНО...</t>
      </text>
    </comment>
    <comment authorId="0" ref="S68">
      <text>
        <t xml:space="preserve">13к ЩИТ ЭТО ЕСЛИ ФУЛЛ МС
С МИЛЛЕЛИТОМ БУДЕТ 16к</t>
      </text>
    </comment>
    <comment authorId="0" ref="T68">
      <text>
        <t xml:space="preserve">ЕШКА ПРИ АКТИВАЦИИ ДАЁТ 5 ЧАСТИЦ
(10) - ДВЕ ЕШКИ(ЦЕРЕМОНИЯ)</t>
      </text>
    </comment>
    <comment authorId="0" ref="U68">
      <text>
        <t xml:space="preserve">РОТАЦИЯ:
ЕШКА - 1 СС
ЕШКА КАРМАН - 8 СС 
(12 УДАРОВ, НО СТАТУС НАКЛАДЫВАЕТ 1 РАЗ В 1,5 сек.)
---
УЛЬТА АКТИВАЦИЯ - 2 СС
УЛЬТА СОСУД - 1 СС (ИЗ-ЗА АКТИВАЦИИ УЛЬТЫ, АКТИВИРОВАТЬ РЕАКЦИЮ ШАНСОВ 0)
РОТАЦИЯ: 12 СС</t>
      </text>
    </comment>
    <comment authorId="0" ref="X68">
      <text>
        <t xml:space="preserve">ПРЫГАЕТ ВЫСОКО И ПАРИТ
ЕШКА НАКЛАДЫВАЕТ КРИО НА СЕБЯ!</t>
      </text>
    </comment>
    <comment authorId="0" ref="E69">
      <text>
        <t xml:space="preserve">РОТАЦИЯ:
БЫСТРАЯ ЕШКА - ЗАРЯЖЕННАЯ - 5 УДАРОВ х2 - *ПАУЗА 8сек.* - ДОЛГАЯ ЕШКА - УЛЬТА
ДОЛГАЯ ЕШКА - УЛЬТА = 2,9 сек.
ЕСЛИ РОТАЦИЯ БУДЕТ В БЕЗДНЕ, ТО ЕСТЬ ВОЗМОЖНО НАЖАТЬ УЛЬТ БЕЗ ДОЛГОЙ ЕШКИ, ЧТО ЭКОНОМИТ 1 сек. НА КАСТ ЕШКИ. ЧТО ЕЩЁ СИЛЬНЕЕ ДПС УВЕЛИЧИВАЕТ!</t>
      </text>
    </comment>
    <comment authorId="0" ref="G69">
      <text>
        <t xml:space="preserve">РОТАЦИЯ:
БЫСТРАЯ ЕШКА - УЛЬТА - 5 УДАРОВ - ЗАРЯЖЕННАЯ - 5 УДАРОВ х3
ЕСЛИ НЕ НАЖИМАТЬ ЗАРЯЖЕННУЮ, ТО БУДЕТ 12,9 сек.
НО-НО! НЕ СТОИТ НАЖИМАТЬ ДЭШ НА СКИРК, РОТАЦИЯ СТАНОВИТСЯ РЕАЛЬНО ДОЛЬШЕ! ТО ЕСТЬ ЭТО ТУПО НЕ ЭФФЕКТИВНО!</t>
      </text>
    </comment>
    <comment authorId="0" ref="L69">
      <text>
        <t xml:space="preserve">НАДО ПОНИМАТЬ ДВЕ ВЕЩИ!
РОТАЦИИ У НАС ДВЕ:
1) БЫСТРАЯ ЕШКА, УЛЬТА, СЕРИЯ УДАРОВ
2) ДОЛГАЯ ЕШКА, УЛЬТА, ПАУЗА 8 сек., ЕШКА, СЕРИЯ УДАРОВ
---
ТАК ВОТ С УЛЬТОЙ В НАЧАЛЕ СИЛЬНЕЙ, НО МЫ МОЖЕМ ДЕЛАТЬ И БЕЗ ВЗРЫВНОЙ УЛЬТЫ
---
ПОЭТОМУ 1008к - ЭТО С УЛЬТОЙ В НАЧАЛЕ
А 975к - ЭТО С УЛЬТОЙ ПОСЛЕ БЫСТРОЙ ЕШКИ
---
В СРЕДНЕМ БУДЕТ 992к ЗА РОТАЦИЮ!!!
</t>
      </text>
    </comment>
    <comment authorId="0" ref="T69">
      <text>
        <t xml:space="preserve">ДАЁТ 4 ЧАСТИЦЫ ЗА ПЕРВЫЙ УДАР В ЕШКЕ</t>
      </text>
    </comment>
    <comment authorId="0" ref="U69">
      <text>
        <t xml:space="preserve">РОТАЦИЯ:
БЫСТРАЯ ЕШКА - УЛЬТА - 5 УДАРОВ - ЗАРЯЖЕННАЯ - 5 УДАРОВ х3
☘️☘️☘️
УДАРЫ 20 РАЗ - 10 СС (СТАНДАРТ)
---
ЗАРЯЖКА - 1 СС (2 УДАРА)
РОТАЦИЯ: 11 СС</t>
      </text>
    </comment>
    <comment authorId="0" ref="W69">
      <text>
        <t xml:space="preserve">0,2 - ВО ВРЕМЯ ДОЛГОЙ ЕШКИ
0,3 - ВО ВРЕМЯ БЫСТРОЙ ЕШКИ</t>
      </text>
    </comment>
    <comment authorId="0" ref="X69">
      <text>
        <t xml:space="preserve">МОБ - БЫСТРО ЛЕТАЕТ В ЕШКЕ НАД ЗЕМЛЁЙ
Е.1ЛВЛ+ - ВСЕЙ КОМАНДЕ В МОНО ЗАМОРОЗКЕ ДАЁТ +1 к ЕШКЕ</t>
      </text>
    </comment>
    <comment authorId="0" ref="E70">
      <text>
        <t xml:space="preserve">РОТАЦИЯ КРИО⏰:
ЕШКА - УЛЬТА - ЕШКА - (ЕШКА - УДАР - ЕШКА) х 5</t>
      </text>
    </comment>
    <comment authorId="0" ref="G70">
      <text>
        <t xml:space="preserve">РОТАЦИЯ ФИЗ⌛:
ЕШКА х2 - УЛЬТА - ЕШКА - (ПРЫЖОК - УДАР)х3 - ЕШКА - ПРЫЖОК х3
РОТАЦИЯ ФИЗ БЕЗ ПРЫЖКОВ:
ЕШКА - УЛЬТА - (ЕШКА - 2 УДАРА - ЕШКА) х4</t>
      </text>
    </comment>
    <comment authorId="0" ref="J70">
      <text>
        <t xml:space="preserve">ФИЗ И КРИО ДАМАЖАТ +- ОДИНАКОВО! БЕЗ БАФФОВ!</t>
      </text>
    </comment>
    <comment authorId="0" ref="L70">
      <text>
        <t xml:space="preserve">ФИЗ ЧЕРЕЗ ОБЫЧНЫЕ УДАРЫ ТИПА ДАМАЖИТ БОЛЬШЕ! НО!
У НАС ЕСТЬ БЕННЕТ И ТАЯНИЕ. ТАК ЧТО ПРЫЖКИ ВСЁ РАВНО ЛУЧШЕ)</t>
      </text>
    </comment>
    <comment authorId="0" ref="T70">
      <text>
        <t xml:space="preserve">4 ЧАСТИЦЫ В ФИЗ
3 ЧАСТИЦЫ В КРИО
9Е - ОТ С2 ЗА СЧЁТ ДАВЛЕНИЯ ФИЗ
12Е - ОТ С2 ЗА СЧЁТ ДАВЛЕНИЯ КРИО
ОЧЕНЬ МНОГО ЛИМИТОВ!</t>
      </text>
    </comment>
    <comment authorId="0" ref="U70">
      <text>
        <t xml:space="preserve">РОТАЦИЯ ФИЗ⌛:
ЕШКА х2 - УЛЬТА - ЕШКА - (ПРЫЖОК - УДАР)х3 - ЕШКА - ПРЫЖОК х3
☘️☘️☘️
У ФИЗУХИ НЕТ СС, ПОЭТОМУ!!!
ЕШКА НАЖАТИЕ 3 РАЗА - 3 СС
УЛЬТА - 1 СС
РОТАЦИЯ: 4 СС
⛔️⛔️⛔️
РОТАЦИЯ КРИО⏰:
ЕШКА - УЛЬТА - ЕШКА - (ЕШКА - УДАР - ЕШКА) х 5
☘️☘️☘️
ЕШКА НАЖАТИЕ 12 РАЗ - 12 СС
УЛЬТА - 1 СС
УДАРЫ - 1 СС (ЕСЛИ ИГРАТЬ С ЧУН ЮНЬ, ТО БУДЕТ 6 СС)
РОТАЦИЯ: 13 СС </t>
      </text>
    </comment>
    <comment authorId="0" ref="W70">
      <text>
        <t xml:space="preserve">ВО ВРЕМЯ УЛЬТЫ</t>
      </text>
    </comment>
    <comment authorId="0" ref="E71">
      <text>
        <t xml:space="preserve">РОТАЦИЯ:
ЕШКА</t>
      </text>
    </comment>
    <comment authorId="0" ref="G71">
      <text>
        <t xml:space="preserve">РОТАЦИЯ:
ЕШКА - УЛЬТА</t>
      </text>
    </comment>
    <comment authorId="0" ref="R71">
      <text>
        <t xml:space="preserve">ЕШКА ХИЛИТ 6к ХП АКТИВНОМУ ЗА ТИК. ТИКОВ 4 = 24к
УЛЬТА НАКЛАДЫВАЕТ ПЕЧАТЬ, КОТОРАЯ ХИЛИТ ПРИ УДАРЕ 7,7к
УДАРОВ МОЖЕТ БЫТЬ МНОГО, НО В СРЕДНЕМ УДАРОВ 10 ТОЧНО БУДЕТ ЗА 15 сек.! А ЗНАЧИТ 77к
ВСЕГО: 24к + 77к = 101к</t>
      </text>
    </comment>
    <comment authorId="0" ref="T71">
      <text>
        <t xml:space="preserve">ЕШКА НЕ ДАЁТ ЧАСТИЦ</t>
      </text>
    </comment>
    <comment authorId="0" ref="U71">
      <text>
        <t xml:space="preserve">РОТАЦИЯ:
ЕШКА - УЛЬТА
☘️☘️☘️
ЕШКА АКТИВАЦИЯ - 1 СС
ЕШКА КАРМАН - 4 СС 
(9 УДАРОВ, ПО 2 УДАРА ДЕЛАЕТСЯ ЗА РАЗ, ИЗ-ЗА ЧЕГО НАКЛАДЫВАЕТСЯ СТАТУС РЕДКО)
---
УЛЬТА - 2 СС
РОТАЦИЯ: 7 СС</t>
      </text>
    </comment>
    <comment authorId="0" ref="X71">
      <text>
        <t xml:space="preserve">НА С4 ПОНИЖАЕТ АТАКУ ВРАГА ПОД МЕТКОЙ</t>
      </text>
    </comment>
    <comment authorId="0" ref="E72">
      <text>
        <t xml:space="preserve">РОТАЦИЯ:
ЕШКА - УЛЬТА</t>
      </text>
    </comment>
    <comment authorId="0" ref="G72">
      <text>
        <t xml:space="preserve">РОТАЦИЯ:
ЕШКА - УЛЬТА - *ПАУЗА* - ЕШКА</t>
      </text>
    </comment>
    <comment authorId="0" ref="Q72">
      <text>
        <t xml:space="preserve">П1. ДАЁТ 8% СКОРОСТИ ОБЫЧНЫХ УДАРОВ ПОД ИНФУЗИЕЙ ЕШКИ
П2. РЕЖЕТ 10% КРИО РЕЗИСТА ПРОТИВНИКА, ПОСЛЕ ОКОНЧАНИЯ ЕШКИ.
ЕСЛИ НАЖАТЬ ЕШКУ ДВАЖДЫ, МЕЧ УПАДЁТ СРАЗУ! ВЕДЬ СТАРАЯ ОБЛАСТЬ ЗАКРЫЛАСЬ.</t>
      </text>
    </comment>
    <comment authorId="0" ref="T72">
      <text>
        <t xml:space="preserve">4 - ЕШКА
(8) - ЦЕРЕМОНИЯ(ДВЕ ЕШКИ)</t>
      </text>
    </comment>
    <comment authorId="0" ref="U72">
      <text>
        <t xml:space="preserve">РОТАЦИЯ:
ЕШКА - УЛЬТА
☘️☘️☘️
ЕШКА АКТИВАЦИЯ - 2 СС
ЕШКА МЕЧ ПАДАЕТ - 1 СС
УЛЬТА - 4 СС (4 УДАРА)
РОТАЦИЯ: 7 СС</t>
      </text>
    </comment>
    <comment authorId="0" ref="X72">
      <text>
        <t xml:space="preserve">КД+ - СНИЖАЕТ КД ЕШКИ\УЛЬТЫ НА 15%
ДАЁТ КРИО ИНФУЗИЮ В ОБЛАСТИ ЕШКИ</t>
      </text>
    </comment>
    <comment authorId="0" ref="E73">
      <text>
        <t xml:space="preserve">РОТАЦИЯ:
БЫСТРАЯ ЕШКА - УЛЬТА</t>
      </text>
    </comment>
    <comment authorId="0" ref="G73">
      <text>
        <t xml:space="preserve">РОТАЦИЯ:
ДОЛГАЯ ЕШКА - УЛЬТА</t>
      </text>
    </comment>
    <comment authorId="0" ref="R73">
      <text>
        <t xml:space="preserve">УЛЬТА ПРИ НАЖАТИЕ ХИЛИТ 22к КАЖДОМУ
ЗАТЕМ АКТИВНОМУ ПЕРСОНАЖУ 8 ТИКОВ ПО 800
С2 - КОГДА ЗАДЕЛ ТИК ИЗ УЛЬТЫ ПОЛУЧАЕТ ХИЛ ПО 2.2к 3 РАЗА, В СРЕДНЕМ 6 ТИКОВ, ТО ЕСТЬ ДВА ЗАДЕТЫХ ПЕРСОНАЖА
С6 - РАЗ в 6 сек. ХИЛИТ АКТИВНОГО ПЕРСОНАЖА, НА 1.1к ХП, ДЕЛАЕТ ЭТО 2 РАЗ С ДОЛГОЙ ЕШКОЙ
</t>
      </text>
    </comment>
    <comment authorId="0" ref="T73">
      <text>
        <t xml:space="preserve">3 - БЫСТРАЯ ЕШКА
(5) - ДОЛГАЯ ЕШКА</t>
      </text>
    </comment>
    <comment authorId="0" ref="U73">
      <text>
        <t xml:space="preserve">РОТАЦИЯ⌛: 
ДОЛГАЯ ЕШКА - УЛЬТА
☘️☘️☘️
ЕШКА НАЖАТИЕ - 1 СС
ЕШКА КАРМАН - 4 СС
УЛЬТА НАЖАТИЕ - 2 СС
УЛЬТА КАРМАН - 4 СС
С6 КАРМАН 2 УДАРА - 1 СС х2
РОТАЦИЯ: 13 СС
ЕШКА КАРМАН 8 УДАРОВ - ЛИМИТ 2-4 СС (ЗАВИСИТ ОТ ЕШКИ)
УЛЬТА КАРМАН 8 УДАРОВ - ЛИМИТ 4 СС
ПОКАЗАТЕЛИ:
ОБЫЧНЫЙ УДАР\ЗАРЯЖЕННАЯ\ЕШКА - 1CC
</t>
      </text>
    </comment>
    <comment authorId="0" ref="X73">
      <text>
        <t xml:space="preserve">ФОТКИ ДЕЛАЕТ ЧЕРЕЗ ЕШКУ - ЩЁЛК ЩЁЛК!!!</t>
      </text>
    </comment>
    <comment authorId="0" ref="E74">
      <text>
        <t xml:space="preserve">РОТАЦИЯ:
БЫСТРАЯ ЕШКА</t>
      </text>
    </comment>
    <comment authorId="0" ref="G74">
      <text>
        <t xml:space="preserve">РОТАЦИЯ:
ДОЛГАЯ ЕШКА - УЛЬТА</t>
      </text>
    </comment>
    <comment authorId="0" ref="Q74">
      <text>
        <t xml:space="preserve">ЕШКА ДАЁТ БАФФ НА КРИО УРОН.
БАФФ ЗАВИСИТ ОТ СА ШЭНЬКИ
10 ЛВЛ \ 13 ЛВЛ
3500 СА = 2877 \ 3395 КРИО ВСЕМ
3000 СА = 2466 \ 2910 КРИО ВСЕМ
2700 СА = 2219 \ 2619 КРИО ВСЕМ
УЛЬТА РЕЖЕТ КРИО И ФИЗ. РЕЗИСТ НА 15% ВНУТРИ ОБЛАСТИ В ТЕЧЕНИИ 12 сек.
П1. ДАЁТ 15% КРИО АФФИКСА ПЕРСУ ВНУТРИ УЛЬТЫ
П2. ДАЁТ 15% АФФИКСА В УЛЬТ И ЕШКУ НА 10 сек. ПОСЛЕ БЫСТРОЙ ЕШКИ
ДАЁТ 15% АФФИКСА В УДАРЫ, ЗАРЯЖЕН. И ПАДЕНИЯ НА 15 сек. ПОСЛЕ ДОЛГОЙ ЕШКИ
⛔️БАФФ С ЕШКИ НЕ СНЕП-ШОТНЫЙ! ТО ЕСТЬ ОН НЕ ФИКСИРУЕТ СА ШЭНКИ В МОМЕНТ НАЖАТИЯ!⛔️</t>
      </text>
    </comment>
    <comment authorId="0" ref="T74">
      <text>
        <t xml:space="preserve">3 - БЫСТРАЯ ЕШКА
(4) - ДОЛГАЯ ЕШКА</t>
      </text>
    </comment>
    <comment authorId="0" ref="U74">
      <text>
        <t xml:space="preserve">РОТАЦИЯ:
ДОЛГАЯ ЕШКА - УЛЬТА
☘️☘️☘️
БЫСТРАЯ ЕШКА - 1 СС
ДОЛГАЯ ЕШКА - 2 СС
УЛЬТА НАЖАТИЕ - 1 СС
УЛЬТА КАРМАН - 6 СС (12 УДАРОВ, НО ЛИМИТЫ)
РОТАЦИЯ: 10 СС</t>
      </text>
    </comment>
    <comment authorId="0" ref="W74">
      <text>
        <t xml:space="preserve">ВО ВРЕМЯ КАСТА ЕШКИ</t>
      </text>
    </comment>
    <comment authorId="0" ref="X74">
      <text>
        <t xml:space="preserve">УЛЬТА ФИКСИРУЕТ БАФФЫ ПОСЛЕ ПЕРВОГО УДАРА
ЛЕДЯНЫЕ ПЕРЬЯ БАФФЫ НЕ ФИКСИРУЮТ, ТО ЕСТЬ СА ВСЕЙ ПАЧКЕ ДЛЯ НАС ХОРОША!</t>
      </text>
    </comment>
    <comment authorId="0" ref="E75">
      <text>
        <t xml:space="preserve">РОТАЦИЯ:
ЕШКА - УЛЬТА</t>
      </text>
    </comment>
    <comment authorId="0" ref="G75">
      <text>
        <t xml:space="preserve">РОТАЦИЯ:
ЕШКА - *ПАУЗА* - УЛЬТА - 4 УДАРА х3
</t>
      </text>
    </comment>
    <comment authorId="0" ref="Q75">
      <text>
        <t xml:space="preserve">П1. ПОСЛЕ АКТИВАЦИИ КРИО СТОЙКИ ДАЁТ 16% СА СЕБЕ И 
8% СА КОМАНДЕ НА 8 сек.</t>
      </text>
    </comment>
    <comment authorId="0" ref="T75">
      <text>
        <t xml:space="preserve">ЕШКА ДАЁТ 5 ЧАСТИЦ</t>
      </text>
    </comment>
    <comment authorId="0" ref="U75">
      <text>
        <t xml:space="preserve">РОТАЦИЯ:
ЕШКА - *ПАУЗА* - УЛЬТА - 4 УДАРА х3
☘️☘️☘️
ЕШКА - 1 СС
ЕШКА БОМБЫ - 2 СС (4 УДАРА, НО ЛИМИТ)
---
УЛЬТА - 2 СС
УДАРЫ - 6 СС (УДАРОВ 15, НО КАК ВСЕГДА ЛИМИТЫ)
РОТАЦИЯ: 11 СС</t>
      </text>
    </comment>
    <comment authorId="0" ref="X75">
      <text>
        <t xml:space="preserve">ЕШКА И БОМБОЧКИ ПОНИЖАЮТ АТАКУ ВРАГА</t>
      </text>
    </comment>
    <comment authorId="0" ref="E76">
      <text>
        <t xml:space="preserve">РОТАЦИЯ:
ЕШКА - УЛЬТА - ДОЛГАЯ ЕШКА - 4 УДАРА - РЫВОК - 4 УДАРА - РЫВОК - 2 УДАРА</t>
      </text>
    </comment>
    <comment authorId="0" ref="Q76">
      <text>
        <t xml:space="preserve">ДОЛГАЯ ЕШКА НА ДВУХ СТАКАХ РЕЖЕТ КРИО И ФИЗ РЕЗИСТ НА 25% НА 7 сек.</t>
      </text>
    </comment>
    <comment authorId="0" ref="T76">
      <text>
        <t xml:space="preserve">БЫСТРАЯ ЕШКА ДАЁТ - 1,5 ЧАСТИЦЫ
ДОЛГАЯ ЕШКА ДАЁТ - 2,5 ЧАСТИЦЫ
ВСЕГО 4 ЧАСТИЦЫ В СРЕДНЕМ!</t>
      </text>
    </comment>
    <comment authorId="0" ref="U76">
      <text>
        <t xml:space="preserve">РОТАЦИЯ:
ЕШКА - УЛЬТА - ДОЛГАЯ ЕШКА - 4 УДАРА - ДЭШ - 4 УДАРА - ДЭШ - 2 УДАРА
☘️☘️☘️
ЕШКА - 1 СС
УЛЬТА НАЖАТИЕ - 2 СС
ЕШКА ДОЛГАЯ - 1 СС
ЕШКА МЕЧ - 1 СС (2 УДАРА, НО ЛИМИТ)
РОТАЦИЯ: 5 СС
УДАРОВ КУЧА, НО БОЛЬШАЯ ЧАСТЬ ФИЗ, ПОЭТОМУ СТАТУСА МАЛО...</t>
      </text>
    </comment>
    <comment authorId="0" ref="W76">
      <text>
        <t xml:space="preserve">ИЗ-ЗА ДОЛГОЙ ЕШКИ. КОГДА ДВА СТАКА ПОЛУЧАЕШЬ</t>
      </text>
    </comment>
    <comment authorId="0" ref="E77">
      <text>
        <t xml:space="preserve">РОТАЦИЯ:
ЕШКА БЫСТРАЯ</t>
      </text>
    </comment>
    <comment authorId="0" ref="G77">
      <text>
        <t xml:space="preserve">РОТАЦИЯ:
БЫСТРАЯ ЕШКА - УЛЬТА</t>
      </text>
    </comment>
    <comment authorId="0" ref="Q77">
      <text>
        <t xml:space="preserve">П2. РЕЖЕТ 5%/10%/15%/55% ❄️ и 💧 РЕЗИСТА на 12 сек. ПОСЛЕ ПОПАДАНИЯ ЕШКИ ИЛИ УЛЬТЫ.
ЗАВИСИТ ОТ КОЛИЧЕСТВА КРИО И ГИДРО ПЕРСО 1/2/3/4</t>
      </text>
    </comment>
    <comment authorId="0" ref="R77">
      <text>
        <t xml:space="preserve">УЛЬТА: 10к КАЖДОМУ
П1: 3,3к\1сек. АКТИВНОМУ ПЕРСОНАЖУ В ТЕЧЕНИИ 9 сек.</t>
      </text>
    </comment>
    <comment authorId="0" ref="T77">
      <text>
        <t xml:space="preserve">4 (ЭЧ) - ПРИ НАЖАТИИ ЕШКИ</t>
      </text>
    </comment>
    <comment authorId="0" ref="U77">
      <text>
        <t xml:space="preserve">РОТАЦИЯ:
ЕШКА - УЛЬТА
☘️☘️☘️
ЕШКА НАЖАТИЕ - 1 СС (ОБЩЕЕ КД С ЕШКОЙ КАРМАН)
---
ЕШКА КАРМАН - 13 СС (УДАРОВ 20, НО ЛИМИТ СТАТУСА РАЗ В 1.5 сек.)
УЛЬТА - 2 СС
РОТАЦИЯ: 16 СС</t>
      </text>
    </comment>
    <comment authorId="0" ref="X77">
      <text>
        <t xml:space="preserve">ЗА СЧЁТ П3. МОЖНО ПРИГОТОВИТЬ ЕДУ В ОТКРЫТЫЙ МИР</t>
      </text>
    </comment>
    <comment authorId="0" ref="E78">
      <text>
        <t xml:space="preserve">РОТАЦИЯ:
ЕШКА - *ПАУЗА* - ЗАРЯЖЕННАЯ - (4 УДАРА \ РЫВОК ) х3</t>
      </text>
    </comment>
    <comment authorId="0" ref="G78">
      <text>
        <t xml:space="preserve">РОТАЦИЯ:
ЕШКА - *ПАУЗА* - ЗАРЯЖЕННАЯ - (4 УДАРА \ РЫВОК) х3 - УЛЬТА</t>
      </text>
    </comment>
    <comment authorId="0" ref="R78">
      <text>
        <t xml:space="preserve">ХИЛ ОЧЕНЬ РАЗНЫЙ!
НО ЕСЛИ НАЖАТЬ ЕШКУ - УЛЬТА, 
ТО ПОГЛОТИТ 150 ДОЛГА ЖИЗНИ И ДАСТ НАМ 20к
ОЧЕНЬ РЕДКО ВЫ БУДЕТЕ НАЖИМАТЬ, КОГДА НЕТ ЕШКИ, ИЛИ МАЛО ДОЛГА.
А ЕЩЁ РЕЖЕ ВЫ БУДЕТЕ ВООБЩЕ УЛЬТУ НАЖИМАТЬ!!!</t>
      </text>
    </comment>
    <comment authorId="0" ref="T78">
      <text>
        <t xml:space="preserve">ЧАСТИЦЫ ДАЮТСЯ ОТ ЛЮБОГО КАСАНИЯ ЕШКИ</t>
      </text>
    </comment>
    <comment authorId="0" ref="U78">
      <text>
        <t xml:space="preserve">РОТАЦИЯ:
ЕШКА - ЗАРЯЖЕННАЯ - (4 УДАРА ДЭШ) х3
☘️☘️☘️
ЕШКА ВЫПАД\ШИПЫ - 1 СС
ЕШКА КАРМАН - 1 СС (1 УДАР)
УЛЬТА - 1 СС 
ЗАРЯЖЕННЫЕ - 1 СС
УДАРЫ - 7 СС (УДАРОВ 15, НО ЛИМИТЫ)
РОТАЦИЯ: 10 СС (+1 СС УЛЬТА ПО НАДОБНОСТИ!)</t>
      </text>
    </comment>
    <comment authorId="0" ref="W78">
      <text>
        <t xml:space="preserve">0 - ВО ВРЕМЯ КАСТА ЕШКИ
0 - БАФФ ОТ С1</t>
      </text>
    </comment>
    <comment authorId="0" ref="X78">
      <text>
        <t xml:space="preserve">ЗА СЧЁТ П3. МЫ ПОЛУЧАЕМ В СРЕДНЕМ 10-20% ВСЕХ РЕЗИСТОВ</t>
      </text>
    </comment>
    <comment authorId="0" ref="E79">
      <text>
        <t xml:space="preserve">РОТАЦИЯ:
ЕШКА - УЛЬТА</t>
      </text>
    </comment>
    <comment authorId="0" ref="Q79">
      <text>
        <t xml:space="preserve">УЛЬТА ДАЁТ АКТИВНОМУ ПЕРСОНАЖУ СА!
БАФФ ЗАВИСИТ ОТ БА БЕНА!
НА С1/С5 СА БОЛЬШЕ!
С0/С1/С5
865 БА = 873/1029/1202 СА
805 БА = 813/958/1119 СА
646 БА = 652/769/898 СА
С6 ДАЁТ 15% ПИРО АФФИКСА АКТИВНОМУ ПЕРСОНАЖУ В ОБЛАСТИ УЛЬТЫ!
РАБОТАЕТ НА ВСЕХ!
БА - БАЗОВАЯ АТАКА </t>
      </text>
    </comment>
    <comment authorId="0" ref="R79">
      <text>
        <t xml:space="preserve">НА САМОМ ДЕЛЕ ПИКОВЫЙ ХИЛ СОСТАВЛЯЕТ 66к
НО ЭТО НАДО ХИЛИТСЯ КАЖДУЮ СЕКУНДУ. А ЭТО НЕВОЗМОЖНО!
ТАК КАК НА 70% ХИЛЛ ОСТАНАВЛИВАЕТСЯ.
ПОЭТОМУ ВЗЯЛ ЧТО-ТО СРЕДНЕЕ. 6 ТИКОВ
А ОДИН ТИК ДАЁТ 5.5к ВСЕГО</t>
      </text>
    </comment>
    <comment authorId="0" ref="T79">
      <text>
        <t xml:space="preserve">ЕШКА ДАЁТ - 2.3
НЕРЕАЛЬНЫЙ РАНДОМ!
ИЗ-ЗА ЧЕГО СТАБИЛЬНОСТЬ КОНЕЧНО СПОРНАЯ...</t>
      </text>
    </comment>
    <comment authorId="0" ref="U79">
      <text>
        <t xml:space="preserve">РОТАЦИЯ:
ЕШКА - УЛЬТА
☘️☘️☘️
ЕШКА - 2 СС
УЛЬТА - 2 СС
РОТАЦИЯ: 4 СС</t>
      </text>
    </comment>
    <comment authorId="0" ref="X79">
      <text>
        <t xml:space="preserve">С6 ДАЁТ ПИРО ИНФУЗИЮ
УЛЬТА НАКЛАДЫВАЕТ ПОСТОЯННО ПИРО НА АКТИВНОГО ПЕРСОАНАЖА</t>
      </text>
    </comment>
    <comment authorId="0" ref="E80">
      <text>
        <t xml:space="preserve">РОТАЦИЯ:
БЫСТРАЯ ЕШКА - УЛЬТА</t>
      </text>
    </comment>
    <comment authorId="0" ref="G80">
      <text>
        <t xml:space="preserve">РОТАЦИЯ:
ДОЛГАЯ ЕШКА - УЛЬТА</t>
      </text>
    </comment>
    <comment authorId="0" ref="Q80">
      <text>
        <t xml:space="preserve">С1. ДАЁТ 6% АФФИКСА УРОНА АКТИВНОМУ ПЕРСОНАЖУ.
ДОПОЛНИТЕЛЬНО, ЕСЛИ АКТИВНЫЙ ПЕРСОНАЖ ПЕРЕБЫВАЕТ В БЛАГОСЛОВЕНИИ НОЧНОГО ДУХА, ТО АФФИКС УВЕЛИЧИВАЕТСЯ НА 9%
ВСЕГО = 15% АФФИКСА УРОНА</t>
      </text>
    </comment>
    <comment authorId="0" ref="T80">
      <text>
        <t xml:space="preserve">ЕШКА - 1 ЭЧ РАЗ В 3 сек.
ЕШКА ВИСИТ ВСЕГДА 12 сек. НА С2+УЛЬТА ИМЕННО!</t>
      </text>
    </comment>
    <comment authorId="0" ref="U80">
      <text>
        <t xml:space="preserve">РОТАЦИЯ⌛:
ДОЛГАЯ ЕШКА - УЛЬТА
☘️☘️☘️
ЕШКА НАЖАТИЕ - 1 СС
ЕШКА СОВМЕСТНЫЙ УДАР - 5 СС
УЛЬТА - 1 СС
РОТАЦИЯ: 7 СС
КОЛИЧЕСТВО УДАРОВ:
ЕШКА НАЖАТИЕ - 1 УДАР
ЕШКА КАРМАН - 12 УДАРОВ (ЛИМИТ 1 СС в 3 сек.) = 5 СС
ЕШКА СОВМЕСТНЫЙ УДАР - 5 УДАРОВ (ЛИМИТА НЕТ)
УЛЬТА - 1 УДАР
ЗАРЯЖЕННАЯ АТАКА - 3 УДАРА (1 СС)(ЛИМИТЫ МЕШАЮТ)</t>
      </text>
    </comment>
    <comment authorId="0" ref="X80">
      <text>
        <t xml:space="preserve">ВАЖНО!
ВСПЫШКА ДУХА НЕ АКТИВИРУЕТСЯ!
НО НОЧНЫМ ДУХОМ БЬЁТ!
</t>
      </text>
    </comment>
    <comment authorId="0" ref="E81">
      <text>
        <t xml:space="preserve">РОТАЦИЯ:
УЛЬТА - ЕШКА - УДАР - ЕШКА - УДАР - ЕШКА - 3 УДАРА</t>
      </text>
    </comment>
    <comment authorId="0" ref="G81">
      <text>
        <t xml:space="preserve">РОТАЦИЯ:
УЛЬТА - 8 ПРЫЖКОВ</t>
      </text>
    </comment>
    <comment authorId="0" ref="T81">
      <text>
        <t xml:space="preserve">4 - ЕШКА
(0) - ПРЫЖКИ БЕЗ ЕШОК
1.33 - ОДНА ЕШКА</t>
      </text>
    </comment>
    <comment authorId="0" ref="U81">
      <text>
        <t xml:space="preserve">РОТАЦИЯ:
УЛЬТА - 8 ПРЫЖКОВ
☘️☘️☘️
УЛЬТА - 3 СС (УДАРОВ 5, НО ЛИМИТЫ)
---
ПРЫЖКИ 8 РАЗ - 8 СС (УДАР В ПАДЕНИИ НЕ ИМЕЕТ СТАТУСА!)
РОТАЦИЯ: 11 СС</t>
      </text>
    </comment>
    <comment authorId="0" ref="E82">
      <text>
        <t xml:space="preserve">РОТАЦИЯ:
ЕШКА - УДАР - УЛЬТА</t>
      </text>
    </comment>
    <comment authorId="0" ref="Q82">
      <text>
        <t xml:space="preserve">П1.ПОНИМАЖАЕТ ПИРО\ЭЛЕКТРО\ДЕНДРО\ГЕО\АНЕМО РЕЗ. 
ПРОТИВНИКА НА 20%.
ГИДРО\КРИО НЕ МОЖЕТ ПОНИЗИТЬ! А ПИРО ПОНИМАЖЕТ ТОЛЬКО В ПЕРЕГРУЗЕ И ГОРЕНИИ!
ЗА СЧЁТ ШАБАША ДЕБАФФ БУДЕТ 35%</t>
      </text>
    </comment>
    <comment authorId="0" ref="T82">
      <text>
        <t xml:space="preserve">4 - ЧАСТИЦЫ ПРИ ВТОРОМ УДАРЕ ЕШКИ
33Е - САМОМУ СЕБЕ ВОЙДЯ В СТОЙКУ</t>
      </text>
    </comment>
    <comment authorId="0" ref="E83">
      <text>
        <t xml:space="preserve">РОТАЦИЯ:
ЕШКА - ЕШКА</t>
      </text>
    </comment>
    <comment authorId="0" ref="G83">
      <text>
        <t xml:space="preserve">РОТАЦИЯ:
ЕШКА - ЕШКА - УЛЬТА - 10 УДАРОВ</t>
      </text>
    </comment>
    <comment authorId="0" ref="R83">
      <text>
        <t xml:space="preserve">ДЭХЬЯ ХИЛИТ ПОЛОВИНУ ХП, КОГДА ПАДАЕТ НИЖЕ 40%
ПОЛОВИНУ ЭТО 16к</t>
      </text>
    </comment>
    <comment authorId="0" ref="S83">
      <text>
        <t xml:space="preserve">ЩИТ С ЕШКИ ПОГЛОЩАЕТ 50% ВХОДЯЩЕГО УРОНА И ПЕРЕХОДИТ НА ДЭХЬЮ
---
УРОН УМЕНЬШАЕТ И ПОД ЩИТОМ!
---
ЕСЛИ ВЫ ПОГЛОЩАЕТ УРОН ПОД ЩИТОМ, ТО ДЭХЬЯ НЕ ПОЛУЧАЕТ УРОНА!!!</t>
      </text>
    </comment>
    <comment authorId="0" ref="T83">
      <text>
        <t xml:space="preserve">КАЖДАЯ АКТИВАЦИЯ ЕШКИ С КАРМАНА ДАЁТ 1 ЧАСТИЦУ
ВСЕГО БУДЕТ 5 АКТИВАЦИЙ</t>
      </text>
    </comment>
    <comment authorId="0" ref="U83">
      <text>
        <t xml:space="preserve">РОТАЦИЯ:
ЕШКА - ЕШКА - УЛЬТА
☘️☘️☘️
ЕШКА 2 РАЗА - 2 СС
ЕШКА КАРМАН 5 РАЗ - 5 СС
---
УЛЬТА - 3 СС (УДАРОВ 10, НО ЛИМИТЫ)
---
УЛЬТА ФИНАЛ - 1 СС (ОТДЕЛЬНЫЙ ОТКАТ ОТ 10 УДАРОВ)
РОТАЦИЯ: 11 СС</t>
      </text>
    </comment>
    <comment authorId="0" ref="W83">
      <text>
        <t xml:space="preserve">0 - ЗОЛОТАЯ ФОРМА ЕШКИ
0,7 - ОБЫЧНАЯ СТОЙКОСТЬ ЕШКИ
0 - КАСТ УЛЬТЫ\ЕШКИ</t>
      </text>
    </comment>
    <comment authorId="0" ref="X83">
      <text>
        <t xml:space="preserve">МОБ - БЫСТРЕЕ ДВИГАЕШЬСЯ ДНЁМ</t>
      </text>
    </comment>
    <comment authorId="0" ref="E84">
      <text>
        <t xml:space="preserve">РОТАЦИЯ:
ЕШКА - (5 УДАРОВ \ РЫВОК) х3</t>
      </text>
    </comment>
    <comment authorId="0" ref="G84">
      <text>
        <t xml:space="preserve">РОТАЦИЯ:
ЕШКА - (5 УДАРОВ \ РЫВОК) х3 - УЛЬТА</t>
      </text>
    </comment>
    <comment authorId="0" ref="Q84">
      <text>
        <t xml:space="preserve">П2. УЛЬТА ДАЁТ СА ВСЕМ, КРОМЕ ЁИМИИ, НА 15 сек. 
СА ЗАВИСИТ ОТ КОЛИЧЕСТВА ВЫСТРЕЛОВ. 10% СА НА БАЗОВОМ
+1% ЗА ВЫСТРЕЛ!
10 ВЫСТРЕЛОВ = 20% ПИК!
5 ВЫСТРЕЛОВ = 15%
2 ВЫСТРЕЛА = 12%</t>
      </text>
    </comment>
    <comment authorId="0" ref="T84">
      <text>
        <t xml:space="preserve">ГЕНЕРИРУЕТ 1 ЧАСТИЦУ С ЕШКИ ЗА УДАРЫ. НО ТАМ ЛИМИТ В 1 ЧАСТИЦУ В 2 сек. ИЗ-ЗА ЧЕГО МЫ УСПЕВАЕМ ТОЛЬКО 5 ЧАСТИЦЫ СДЕЛАТЬ ЗА 10 сек.</t>
      </text>
    </comment>
    <comment authorId="0" ref="U84">
      <text>
        <t xml:space="preserve">РОТАЦИЯ:
ЕШКА - (5 УДАРОВ \ ДЭШ) х3 - УЛЬТА
☘️☘️☘️
УЛЬТА НАЖАТИЕ - 2 СС
УЛЬТА КАРМАН - 5 СС
---
УДАРЫ 15 РАЗ - 8 СС 
(КАЖДЫЙ 2 и 4 УДАР НЕ АКТИВИРУЮТ РЕАКЦИИ, ЕСЛИ ВАС КОНЕЧНО НЕ ПРЕРЫВАЮТ...)
(ИНОГДА КСТАТИ И 1 УДАР НЕ ПАРИТ)
РОТАЦИЯ: 15 СС</t>
      </text>
    </comment>
    <comment authorId="0" ref="E85">
      <text>
        <t xml:space="preserve">РОТАЦИЯ:
УЛЬТА - ЕШКА х7
ЕСЛИ РОТАЦИЯ БУДЕТ ИЗ 6 ПРЫЖКОВ, НАПРИМЕР ДЛЯ ТАЯНИЯ, ТО БУДЕТ 12,5 сек.</t>
      </text>
    </comment>
    <comment authorId="0" ref="G85">
      <text>
        <t xml:space="preserve">РОТАЦИЯ:
ЕШКА - УЛЬТА - ЕШКА х7</t>
      </text>
    </comment>
    <comment authorId="0" ref="R85">
      <text>
        <t xml:space="preserve">ЭТОТ ХИЛ ПРИМЕНЯТЬСЯ ТОЛЬКО НА НАС. И НЕ НУЖНО ЗАБЫВАТЬ, ЧТО ОН САМ У СЕБЯ КУЧА ХП ЖРЁТ!
УЛЬТ ХИЛИТ КОПЕЙКИ - 5к
ОСТАЛЬНОЙ ХИЛЛ СТОИТ НА П1 И С1</t>
      </text>
    </comment>
    <comment authorId="0" ref="T85">
      <text>
        <t xml:space="preserve">ЕШКА ДАЁТ 2 ЧАСТИЦЫ
ЕШОК У НАС БУДЕТ 7, НО ТАМ ОГРАНИЧИТЕЛЬ! КОТОРЫЙ НЕ ПОЗВОЛЯЕТ НАМ СГЕНЕРИРОВАТЬ ЧАСТИЦЫ ЧАЩЕ, ЧЕМ РАЗ В 3 сек.
ПОЭТОМУ ЗА 7 ЕШОК ТОЛЬКО 6 ЧАСТИЦ
ЕСЛИ ВЫ БУДЕТЕ НАЖИМАТЬ 7 ЕШОК, ТО МОЖЕТЕ ПОЛУЧИТЬ ДАЖЕ 8 ЧАСТИЦ!</t>
      </text>
    </comment>
    <comment authorId="0" ref="U85">
      <text>
        <t xml:space="preserve">РОТАЦИЯ:
УЛЬТА - ЕШКА х6
☘️☘️☘️
УЛЬТА - 1 СС
ЕШКА - 1 СС х 7
РОТАЦИЯ: 8 СС</t>
      </text>
    </comment>
    <comment authorId="0" ref="X85">
      <text>
        <t xml:space="preserve">МОБ - ПРЫЖКИ + БЫСТРЕЕ ДВИГАЕШЬСЯ ДНЁМ
УЛЬТА НАКЛАДЫВАЕТ ПИРО НА СЕБЯ. СЛАБОЕ!</t>
      </text>
    </comment>
    <comment authorId="0" ref="E86">
      <text>
        <t xml:space="preserve">РОТАЦИЯ:
ЕШКА - УЛЬТА - ЗАРЯЖЕН - (УДАР \ ЗАРЯЖЕН) х4</t>
      </text>
    </comment>
    <comment authorId="0" ref="G86">
      <text>
        <t xml:space="preserve">РОТАЦИЯ:
ЕШКА - УЛЬТА - ЗАРЯЖЕН - (УДАР \ ЗАРЯЖЕН) х4 - ЕШКА - ЗАРЯЖЕН</t>
      </text>
    </comment>
    <comment authorId="0" ref="T86">
      <text>
        <t xml:space="preserve">4 - ЕШКА
(8) - ДВЕ ЕШКИ
10Е - ПАССИВКА(ЭНЕРГИЯ ВСЕМ)</t>
      </text>
    </comment>
    <comment authorId="0" ref="U86">
      <text>
        <t xml:space="preserve">РОТАЦИЯ:
ЕШКА - УЛЬТА - ЗАРЯЖЕН - (УДАР \ ЗАРЯЖЕН) х4
☘️☘️☘️
ЕШКА - 3 СС (3 УДАРА, НО СТАТУС НАКЛАДЫВАЕТ 1й и 3й)
(1й - 1 СС, 3й - 2 СС)
---
ЕШКА МИНЫ - 2 СС (МИН 9 ШТУК, НО ЛИМИТЫ)
---
УЛЬТА - 5 СС (16 УДАРОВ, НО СТАТУС НАКЛАДЫВАЕТ КАЖДЫЙ 3й УДАР)
---
ЗАРЯЖЕННАЯ 5 РАЗ - 5 СС
РОТАЦИЯ: 15 СС
</t>
      </text>
    </comment>
    <comment authorId="0" ref="W86">
      <text>
        <t xml:space="preserve">ВО КАСТА ЗАРЯЖЕННОЙ ПОД П1</t>
      </text>
    </comment>
    <comment authorId="0" ref="E87">
      <text>
        <t xml:space="preserve">РОТАЦИЯ:
3 ЗАРЯЖЕННЫЕ - ЕШКА - УЛЬТА - ЗАРЯЖЕН</t>
      </text>
    </comment>
    <comment authorId="0" ref="R87">
      <text>
        <t xml:space="preserve">18к ХП С ЕШКИ ЗА 5 СТАКОВ
В ПЕРВУЮ РОТАЦИЮ БУДЕТ ВСЕГО 3 СТАКА, А ЭТО 11к ХП</t>
      </text>
    </comment>
    <comment authorId="0" ref="T87">
      <text>
        <t xml:space="preserve">ЕШКА ДАЁТ 5  ЧАСТИЦ</t>
      </text>
    </comment>
    <comment authorId="0" ref="U87">
      <text>
        <t xml:space="preserve">РОТАЦИЯ:
3 ЗАРЯЖЕННЫЕ - ЕШКА - УЛЬТА - ЗАРЯЖЕН
☘️☘️☘️
ЕШКА - 1 СС
УЛЬТА - 2 СС (2 УДАРА)
5 ЗАРЯЖЕН - 10 СС (10 УДАРОВ)
РОТАЦИЯ: 13 СС</t>
      </text>
    </comment>
    <comment authorId="0" ref="W87">
      <text>
        <t xml:space="preserve">ВО ВРЕМЯ УЛЬТЫ</t>
      </text>
    </comment>
    <comment authorId="0" ref="E88">
      <text>
        <t xml:space="preserve">РОТАЦИЯ:
ЕШКА - УЛЬТ - УДАР - РЫВОК</t>
      </text>
    </comment>
    <comment authorId="0" ref="G88">
      <text>
        <t xml:space="preserve">РОТАЦИЯ:
ЕШКА - *ПАУЗА* - УЛЬТА - (4 УДАРОВ ЗАРЯЖЕННЫХ \ ФИНАЛ \ РЫВОК) х2</t>
      </text>
    </comment>
    <comment authorId="0" ref="Q88">
      <text>
        <t xml:space="preserve">П2. ПОСЛЕ НАЖАТИЯ УЛЬТЫ, ПОВЫШАЕТ АФФИКС УРОНА АКТИВНОГО ПЕРСОНАЖА.
ДЛИТСЯ 20 сек, И В ТЕЧЕНИЕ ЭТОГО ВРЕМЕНИ ПОСТЕПЕННО УБЫВАЕТ, ПОКА НЕ ДОСТИГНЕТ 0%
80 ОЧКОВ БД = 40% АФФИКСА
60 ОЧКОВ БД = 30% АФФИКСА
40 ОЧКОВ БД = 20% АФФИКСА
НА 10 сек. БАФФ В 2 РАЗА МЕНЬШЕ!
БД - БОЕВОЙ ДУХ</t>
      </text>
    </comment>
    <comment authorId="0" ref="T88">
      <text>
        <t xml:space="preserve">ДАЁТ 5 ЧАСТИЦ ЗА ЛЮБОЙ УРОН С ЕШКИ. ДАЖЕ НА МОТОЦИКЛЕ!</t>
      </text>
    </comment>
    <comment authorId="0" ref="U88">
      <text>
        <t xml:space="preserve">РОТАЦИЯ⌛:
ЕШКА - *ПАУЗА* - УЛЬТА - (4 УДАРОВ ЗАРЯЖЕННЫХ \ ФИНАЛ \ ДЭШ) х2
☘️☘️☘️
ЕШКА НАЖАТИЕ - 1 СС
ЕШКА КАРМАН - 4 СС
УЛЬТА НАЖАТИЕ - 1 СС
ЗАРЯЖЕННАЯ -  6 СС (УДАРОВ 10, НО ЛИМИТЫ!)
---
ДЭШ - 2 СС (ИМЕЕТ ОБЩИЙ ОТКАТ С ЗАРЯЖЕН.)
(ИЗ-ЗА ЧЕГО НИКОГДА НЕ АКТИВИРУЕТ РЕАКЦИИ ТОЛКОМ)
РОТАЦИЯ: 14 СС
ЕСЛИ ИГРАТЬ С КАРМАНА⏰:
☘️☘️☘️
ЕШКА АКТИВАЦИЯ - 1 СС
ЕШКА КАРМАН - 5 СС
УЛЬТА АКТИВАЦИЯ - 1 СС
---
УДАР\ДЭШ - 1 СС(2 УДАРА, НО АКТИВИРУЕТ РЕАКЦИЮ ТОЛЬКО 1 УДАР)
РОТАЦИЯ: 8 СС</t>
      </text>
    </comment>
    <comment authorId="0" ref="W88">
      <text>
        <t xml:space="preserve">ВО ВРЕМЯ УЛЬТЫ</t>
      </text>
    </comment>
    <comment authorId="0" ref="X88">
      <text>
        <t xml:space="preserve">В ЕШКЕ МОЖЕТ ПЛАВАТЬ, ЛЕТАТЬ И БЫСТРО ЕЗДИТЬ ПО ЗЕМЛЕ!</t>
      </text>
    </comment>
    <comment authorId="0" ref="E89">
      <text>
        <t xml:space="preserve">РОТАЦИЯ:
ЕШКА - УЛЬТА
ОЧЕНЬ ВАЖНО НАЖИМАТЬ ИМЕННО ЕШКУ ПЕРЕД УЛЬТОЙ, ВЕДЬ НЕ ПОЛУЧИТЕ ФУЛЛ ЩИТ!</t>
      </text>
    </comment>
    <comment authorId="0" ref="Q89">
      <text>
        <t xml:space="preserve">П2. УВЕЛИЧИВАЕТ ФИЗ. УРОН АКТИВНОГО ПЕРСОНАЖА, ЗАЩИЩЁННОГО ЩИТОМ СИНЬ ЯНЬ НА 15%-ОВ
С4, ПРИ ПОПАДАНИИ ЕШКОЙ ПО ПРОТИВНИКУ, ПОНИЖАЕТ ФИЗ. СОПРОТИВЛЕНИЕ НА 15%-ОВ В ТЕЧЕНИЕ 12 СЕК.</t>
      </text>
    </comment>
    <comment authorId="0" ref="S89">
      <text>
        <t xml:space="preserve">ЩИТ ИМЕЕТ В ПИКЕ 12к
ЕСЛИ БУДЕТ 2 СТАКА ТО 10к
НО ЩИТ НА 2 СТАКАХ НЕ ДАЁТ УРОН С КАРМАНА, ПОЭТОМУ КАЛЛ!</t>
      </text>
    </comment>
    <comment authorId="0" ref="T89">
      <text>
        <t xml:space="preserve">ЕШКА ДАЁТ 4 ЧАСТИЦЫ, ЕСЛИ ДОСТАНЕТ!)))</t>
      </text>
    </comment>
    <comment authorId="0" ref="U89">
      <text>
        <t xml:space="preserve">РОТАЦИЯ:
ЕШКА - УЛЬТА
☘️☘️☘️
ЕШКА АКТИВАЦИЯ - 1 СС
ЕШКА КАРМАН 6 РАЗ - 6 СС 
---
УЛЬТА - 3 СС (УДАРОВ 8)(1 ФИЗ и 7 ПИРО, И КАК ВСЕГДА ЛИМИТЫ МЕШАЮТ)
РОТАЦИЯ: 10 СС</t>
      </text>
    </comment>
    <comment authorId="0" ref="X89">
      <text>
        <t xml:space="preserve">НАКЛАДЫВАЕТ ПИРО НА СЕБЯ ВО ВРЕМЯ НАЖАТИЯ ЕШКИ</t>
      </text>
    </comment>
    <comment authorId="0" ref="E90">
      <text>
        <t xml:space="preserve">РОТАЦИЯ:
УЛЬТА - ЕШКА</t>
      </text>
    </comment>
    <comment authorId="0" ref="Q90">
      <text>
        <t xml:space="preserve">П2. ПОСЛЕ ИСЧЕЗНОВЕНИЯ ЕШКИ, СОЗДАЁТ ПЕРЕЦ, КОТОРЫЙ УВЕЛИЧИВАЕТ СИЛУ АТАКИ ПОДНЯВШЕГО ЕГО ПЕРСОНАЖА НА 10% В ТЕЧЕНИЕ 10 сек.
С1. ПОСЛЕ ПОПАДАНИЯ АТАКИ ЕШКИ, ПОНИЖАЕТ ПИРО СОПРОТИВЛЕНИЕ ПРОТИВНИКА НА 15% В ТЕЧЕНИЕ 6 сек.
С6. ПОКА АКТИВНА УЛЬТА, ПАЧКА  ПОЛУЧАЕТ 15% ПИРО АФФИКСА</t>
      </text>
    </comment>
    <comment authorId="0" ref="T90">
      <text>
        <t xml:space="preserve">КАЖДЫЙ УДАР ГОБЫ ДАЁТ 1 ЧАСТИЦУ
УДАРОВ ВСЕГО 4, ИНОГДА КСТАТИ НЕ ПОПАДАЕТ...</t>
      </text>
    </comment>
    <comment authorId="0" ref="U90">
      <text>
        <t xml:space="preserve">РОТАЦИЯ:
УЛЬТА - ЕШКА
☘️☘️☘️
УЛЬТА НАЖАТИЕ - 1 СС (УДАРЫ 3, НО ОНИ СЛИШКОМ БЫСТРЫЕ, ИЗ-ЗА ЧЕГО НАЛОЖИТЬ МНОГО СТАТУСА НЕ ПОЛУЧИТСЯ!)
УЛЬТА КАРМАН 13 УДАРОВ - 13 СС
ЕШКА 4 РАЗА - 4 СС
РОТАЦИЯ: 18 СС</t>
      </text>
    </comment>
    <comment authorId="0" ref="X90">
      <text>
        <t xml:space="preserve">СНШОТ - БАФФЫ ФИКСИРУЕТ КАК ЕШКА ТАК И УЛЬТА</t>
      </text>
    </comment>
    <comment authorId="0" ref="E91">
      <text>
        <t xml:space="preserve">РОТАЦИЯ:
ЕШКА - УЛЬТА</t>
      </text>
    </comment>
    <comment authorId="0" ref="G91">
      <text>
        <t xml:space="preserve">РОТАЦИЯ:
УЛЬТА - ЕШКА - УДАР
УДАР НУЖЕН ЧТО БЫ СЛОВИТЬ ЧАСТИЦЫ С ЕШКИ, А ТАК ЖЕ ПРОКНУТЬ УЛЬТУ</t>
      </text>
    </comment>
    <comment authorId="0" ref="Q91">
      <text>
        <t xml:space="preserve">С6. УВЕЛИЧИВАЕТ УРОН ОБЫЧНЫХ, ЗАРЯЖЕННЫХ И АТАК В ПАДЕНИИ, ЗАЩИЩЁННОГО ЩИТОМ ПЕРСОНАЖА НА 15% НА 6 сек, ЕСЛИ ЩИТ БЫЛ ПОЛУЧЕН, ИЛИ ОБНОВЛЁН!</t>
      </text>
    </comment>
    <comment authorId="0" ref="S91">
      <text>
        <t xml:space="preserve">16к - ЭТО СРЕДНАЯЯ МЕДИАНА
НА САМОМ ДЕЛЕ В ПИКЕ МОЖНО ПОЛУЧИТЬ 18к ЩИТ, ЕСЛИ ХП\ХП\ХП
ЕСЛИ ЖЕ БУДЕТЕ СОБИРАТЬ ТОМУ В МС\МС\МС ТО БУДЕТ 12-13к, ЗАВИСИТ ОТ ВАШЕГО ХП</t>
      </text>
    </comment>
    <comment authorId="0" ref="T91">
      <text>
        <t xml:space="preserve">3.5 - ЕШКА
15Е - С4 ДАЁТ ПОСЛЕ НАЖАТИЯ УЛЬТЫ</t>
      </text>
    </comment>
    <comment authorId="0" ref="U91">
      <text>
        <t xml:space="preserve">РОТАЦИЯ:
УЛЬТА - ЕШКА - УДАРЫ
☘️☘️☘️
ЕШКА - 1 СС
УЛЬТА НАЖАТИЕ - 2 СС
УЛЬТА КАРМАН -  7 СС(13 УДАРОВ, НО ЛИМИТЫ)
(НА АКТИВАЦИЮ БУТОНОВ НЕ ВЛИЯЕТ!)
РОТАЦИЯ: 16 СС</t>
      </text>
    </comment>
    <comment authorId="0" ref="X91">
      <text>
        <t xml:space="preserve">НАКЛАДЫВАЕТ ПИРО НА СЕБЯ ВО ВРЕМЯ НАЖАТИЯ ЕШКИ</t>
      </text>
    </comment>
    <comment authorId="0" ref="E92">
      <text>
        <t xml:space="preserve">РОТАЦИЯ:
ЕШКА - 8 ЗАРЯЖЕННЫХ</t>
      </text>
    </comment>
    <comment authorId="0" ref="G92">
      <text>
        <t xml:space="preserve">РОТАЦИЯ:
ЕШКА - 5 ЗАРЯЖЕННЫХ - ПРЫЖОК\ПАДЕНИЕ 5 РАЗ - УЛЬТА</t>
      </text>
    </comment>
    <comment authorId="0" ref="Q92">
      <text>
        <t xml:space="preserve">ПОСЛЕ ОКОНЧАНИЯ СТОЙКИ, П1 УВЕЛИЧИВАЕТ ШК ВСЕГО ОТРЯДА НА 12% В ТЕЧЕНИЕ 8 сек. НЕ РАБОТАЕТ НА САМОЙ ХУ ТАО!</t>
      </text>
    </comment>
    <comment authorId="0" ref="R92">
      <text>
        <t xml:space="preserve">ХИЛЛ 4к ЗА ОДНОГО ПРОТИВНИКА, И ВАЖНО ЧТО ПРИ НИЗКОМ ХП</t>
      </text>
    </comment>
    <comment authorId="0" ref="T92">
      <text>
        <t xml:space="preserve">ГЕНЕРИРУЕТ 2,5 ЧАСТИЦЫ С ЕШКИ ЗА УДАРЫ. НО ТАМ ЛИМИТ В 2.5 ЧАСТИЦУ В 5 сек. ИЗ-ЗА ЧЕГО МЫ УСПЕВАЕМ ТОЛЬКО 5 ЧАСТИЦ СДЕЛАТЬ</t>
      </text>
    </comment>
    <comment authorId="0" ref="U92">
      <text>
        <t xml:space="preserve">РОТАЦИЯ:
ЕШКА - 5 ЗАРЯЖЕННЫХ - ПРЫЖОК\ПАДАЕНИЕ 5 РАЗ - УЛЬТА
☘️☘️☘️
УДАРЫ 5 РАЗ - 5 СС
(ЛИМИТ ЕСТЬ, НО НЕ МЕШАЕТ!)
---
ЗАРЯЖЕННЫЕ - 5 СС (ЛИМИТОВ НЕТ!)
---
ПАДЕНИЕ - 5 СС 
(ЛИМИТОВ НЕТ!)
---
КРОВАВЫЙ ЦВЕТОК 3 УДАРА - 3 СС (ЛИМИТОВ НЕТ!)
---
УЛЬТА - 2 СС
РОТАЦИЯ: 20 СС</t>
      </text>
    </comment>
    <comment authorId="0" ref="W92">
      <text>
        <t xml:space="preserve">ВО ВРЕМЯ ЗАРЯЖЕННОЙ
И БАФФ ОТ С6</t>
      </text>
    </comment>
    <comment authorId="0" ref="X92">
      <text>
        <t xml:space="preserve">УЛЬТА ФИКСИРУЕТ БАФФ ПРИ НАЖАТИИ. НО!
ТОЛЬКО БАФФ С ЕШКИ. ОСТАЛЬНЫЕ БАФФЫ ФИКСИРУЮТСЯ БЕЗ СНШОТА!</t>
      </text>
    </comment>
    <comment authorId="0" ref="E93">
      <text>
        <t xml:space="preserve">РОТАЦИЯ:
ДОЛГАЯ ЕШКА</t>
      </text>
    </comment>
    <comment authorId="0" ref="G93">
      <text>
        <t xml:space="preserve">РОТАЦИЯ:
УЛЬТА - ДОЛГАЯ ЕШКА - *ПАУЗА* - ДОЛГАЯ ЕШКА</t>
      </text>
    </comment>
    <comment authorId="0" ref="Q93">
      <text>
        <t xml:space="preserve">П1. ДАЁТ 40% СРЕЗА 🔥 И ⚡️ СТИХИИ НА 6 сек. ПОСЛЕ АКТИВАЦИИ ПЕРЕГРУЗА!
П2. ДАЁТ СА ВСЕЙ КОМАНДЕ, ПОСЛЕ НАЖАТИЯ ДОЛГОЙ ЕШКИ.
СА ЗАВИСИТ ОТ ХП ШЕВРЁЗ:
40к ХП = 40% СА
30к ХП = 30% СА
20к ХП = 20% СА
С6. ДАЁТ 20% 🔥 И ⚡️ АФФИКСА ПЕРСОНАЖУ, КОТОРЫЙ ПОЛУЧИЛ ХИЛ ОТ ЕШКИ. ДО 3 СТАКОВ
ВСЕГО = 60%
ДЛИТСЯ С6 ТИПА 8 сек.! НО!
НА САМОМ ДЕЛЕ ПОКА ДЛИТСЯ ХИЛ ЕШКИ, БАФФ НЕ ПРОПАДАЕТ. ИЗ-ЗА ЧЕГО ДЛИТЕЛЬНОСТЬ 8+12 сек.
МАСС ХИЛ С6 НАКЛАДЫВАЕТ НА ВСЕХ 20% АФФИКСА
⛔️П2 РАБОТАЮТ ТОЛЬКО НА ПИРО И ЭЛЕКТРО ПЕРСОВ!
С6 РАБОТАЕТ НА ВСЕХ!⛔️</t>
      </text>
    </comment>
    <comment authorId="0" ref="R93">
      <text>
        <t xml:space="preserve">ЕШКА ХИЛИТ 3,3к АКТИВНОМУ ЗА ТИК.
(ТИКОВ 8)
ЗАТЕМ С6 ХИЛЛИТ ВСЕХ НА 4,5к
СУММАРНО С6 = 18к
ВСЕГО = 26к + 18к = 44к</t>
      </text>
    </comment>
    <comment authorId="0" ref="T93">
      <text>
        <t xml:space="preserve">4 - ЕШКА (ВТОРАЯ ЕШКА ЭНЕРГИИ НИКОГДА НЕ ДАСТ!)
12Е - С1 ДАЁТ АКТИВНОМУ 6Е ДВА РАЗА</t>
      </text>
    </comment>
    <comment authorId="0" ref="U93">
      <text>
        <t xml:space="preserve">РОТАЦИЯ:
ДОЛГАЯ ЕШКА - УЛЬТА
☘️☘️☘️
УЛЬТА ПЕРВЫЙ ВЗРЫВ - 2 СС
УЛЬТА МАЛЕНЬКИЕ ВЗРЫВЫ - 
2 СС (УДАРОВ 6, НО ЛИМИТЫ!)
---
ЕШКА НАЖАТИЕ - 1 СС
ЕШКА ПЕРЕГРУЗ - 1 СС
С2 - 1 СС (УДАРОВ 2, НО ЛИМИТ!)
РОТАЦИЯ: 6 СС</t>
      </text>
    </comment>
    <comment authorId="0" ref="E94">
      <text>
        <t xml:space="preserve">РОТАЦИЯ:
ЕШКА - УЛЬТА</t>
      </text>
    </comment>
    <comment authorId="0" ref="G94">
      <text>
        <t xml:space="preserve">РОТАЦИЯ:
ЕШКА - УЛЬТА - ЕШКА</t>
      </text>
    </comment>
    <comment authorId="0" ref="Q94">
      <text>
        <t xml:space="preserve">С6. ДАЁТ СА 15% НА 10 сек. ПРИ ИСПОЛЬЗОВАНИИ УЛЬТЫ</t>
      </text>
    </comment>
    <comment authorId="0" ref="T94">
      <text>
        <t xml:space="preserve">4 - ЕШКА
8 - ДВЕ ИГРУШКИ
ИГРУШКИ ОЧЕНЬ ЧАСТО ВЗРЫВАЮТ ДАЛЕКО ОТ ВРАГА, ТЕМ САМЫМ НЕ ДАВАЯ ЧАСТИЦ. ТАК ЧТО ЭТО УЛЬТРА НЕ СТАБИЛЬНЫЕ ЧАСТИЦЫ!</t>
      </text>
    </comment>
    <comment authorId="0" ref="U94">
      <text>
        <t xml:space="preserve">РОТАЦИЯ:
ЕШКА - УЛЬТ
☘️☘️☘️
ЕШКА - 2 СС (ЕСЛИ ЗАЦЕПИТ...)
УЛЬТА - 6 СС (УДАРОВ 18, НО ЛИМИТ НЕ ПОЗВОЛЯЕТ НАЛОЖИТЬ БОЛЬШЕ!)
РОТАЦИЯ: 8 СС</t>
      </text>
    </comment>
    <comment authorId="0" ref="X94">
      <text>
        <t xml:space="preserve">СНШОТ - БАФФЫ ФИКСИРУЕТ КАК ЕШКА ТАК И УЛЬТА</t>
      </text>
    </comment>
    <comment authorId="0" ref="E95">
      <text>
        <t xml:space="preserve">РОТАЦИЯ:
УЛЬТА - ЗАРЯЖЕН - ЕШКА - ЗАРЯЖЕН - (2 УДАРА \ ЗАРЯЖЕН) х3</t>
      </text>
    </comment>
    <comment authorId="0" ref="G95">
      <text>
        <t xml:space="preserve">РОТАЦИЯ:
УЛЬТА - ЗАРЯЖЕН - ЕШКА - ЗАРЯЖЕН - (2 УДАРА \ ЗАРЯЖЕН) х4 - ЕШКА - ЗАРЯЖЕН</t>
      </text>
    </comment>
    <comment authorId="0" ref="T95">
      <text>
        <t xml:space="preserve">ЕШКА ДАЁТ 3 ЧАСТИЦЫ
В РОТАЦИИ ДВЕ ЕШКИ,
А ЗНАЧИТ 6 ЧАСТИЦ</t>
      </text>
    </comment>
    <comment authorId="0" ref="U95">
      <text>
        <t xml:space="preserve">РОТАЦИЯ:
УЛЬТА - ЗАРЯЖЕН - ЕШКА - ЗАРЯЖЕН - (2 УДАРА \ ЗАРЯЖЕН) х3
☘️☘️☘️
УЛЬТА НАЖАТИЕ - 2 СС
ЕШКА - 1 СС
ЗАРЯЖЕН 5 РАЗ - 5 СС
ЗАРЯЖЕН ДОП. 5 РАЗ - 5 СС
---
УДАРЫ - 3 СС (6 УДАРОВ, НО ЛИМИТЫ)
РОТАЦИЯ: 16 СС</t>
      </text>
    </comment>
    <comment authorId="0" ref="W95">
      <text>
        <t xml:space="preserve">КАЖДАЯ ПЕЧАТЬ 0,1 ДАЁТ
4 ПЕЧАТИ = 0,4
1 - 0,4 = 0,6</t>
      </text>
    </comment>
    <comment authorId="0" ref="E96">
      <text>
        <t xml:space="preserve">РОТАЦИЯ:
БЫСТРАЯ ЕШКА - УЛЬТА</t>
      </text>
    </comment>
    <comment authorId="0" ref="G96">
      <text>
        <t xml:space="preserve">РОТАЦИЯ:
ДОЛГАЯ ЕШКА(ИДЕАЛЬНОЕ ПАРИРОВАНИЕ) - УЛЬТА</t>
      </text>
    </comment>
    <comment authorId="0" ref="Q96">
      <text>
        <t xml:space="preserve">С6. ПОНИЖАЕТ ⚡ СОПРОТИВЛЕНИЕ ПРОТИВНИКА НА 15% НА ВСЁ ВРЕМЯ ДЕЙСТВИЯ УЛЬТЫ</t>
      </text>
    </comment>
    <comment authorId="0" ref="S96">
      <text>
        <t xml:space="preserve">ПАРИРОВАНИЕ - 10к
ЭЛЕКТРО ЩИТ З С1 - 4к
---
37% ВХОДЯЩЕГО УРОНА ПОГЛОЩАЕТСЯ ПОД УЛЬТОЙ
---
УРОН УМЕНЬШАЕТ И ПОД ЩИТОМ!</t>
      </text>
    </comment>
    <comment authorId="0" ref="T96">
      <text>
        <t xml:space="preserve">2 - БЫСТРАЯ ЕШКА
(4) - ИДЕАЛЬНОЕ ПАРИРОВАНИЕ</t>
      </text>
    </comment>
    <comment authorId="0" ref="U96">
      <text>
        <t xml:space="preserve">РОТАЦИЯ:
ЕШКА - УЛЬТА - ЕШКА(ПОТОМ)
☘️☘️☘️
ЕШКА ЛЮБАЯ - 2 СС х2
УЛЬТА НАЖАТИЕ - 4 СС
ЦЕПНАЯ МОЛНИЯ - 1 СС х8
(ЛИМИТЫ НЕ МЕШАЮТ!)
РОТАЦИЯ: 16 СС
</t>
      </text>
    </comment>
    <comment authorId="0" ref="W96">
      <text>
        <t xml:space="preserve">БАФФ УЛЬТЫ</t>
      </text>
    </comment>
    <comment authorId="0" ref="X96">
      <text>
        <t xml:space="preserve">УЛЬТА ФИКСИРУЕТ БАФФЫ СРАЗУ ПРИ НАЖАТИИ
НАКЛАДЫВАЕТ ЭЛЕКТРО СТАТУС НА СЕБЯ ПОСЛЕ ЕШКИ НА 2 сек.</t>
      </text>
    </comment>
    <comment authorId="0" ref="E97">
      <text>
        <t xml:space="preserve">РОТАЦИЯ:
УЛЬТА - ЕШКА\ПРЫЖОК х3 - БЫСТРАЯ УЛЬТА</t>
      </text>
    </comment>
    <comment authorId="0" ref="G97">
      <text>
        <t xml:space="preserve">РОТАЦИЯ:
ЕШКА\ПРЫЖОК х2 - БЫСТРАЯ УЛЬТА - ЕШКА\ПРЫЖОК х2 - БЫСТРАЯ УЛЬТА
ЕШКА\ПРЫЖОК - СИЛЬНАЯ УЛЬТА - ЕШКА\ПРЫЖОК х3 - БЫСТРАЯ УЛЬТА
ЭТИ ДВЕ РОТАЦИИ ИМЕЮТ ОДИНАКОВУЮ ДЛИТЕЛЬНОСТЬ!</t>
      </text>
    </comment>
    <comment authorId="0" ref="J97">
      <text>
        <t xml:space="preserve">⌛ - ЕСЛИ ВЫ БУДЕТЕ НАЖИМАТЬ СИЛЬНУЮ УЛЬТУ, ТО ПОЛУЧИТЕ ТЕ ЖЕ САМЫЕ 414к УРОНА ЗА РОТАЦИЮ. ПРОСТО РОТАЦИЯ БУДЕТ СТОЯТЬ НА 40Е БОЛЬШЕ.
⏰ - ЕСЛИ ВЫ БУДЕТЕ ИСПОЛЬЗОВАТЬ БЫСТРУЮ РОТАЦИЮ С ОБЫЧНЫМ УЛЬТОМ ТО ПОЛУЧИТЕ 322к УРОНА
☢️ТО ЖЕ САМОЕ И С РЕАКЦИЯМИ В ПАЧКАХ!☢️</t>
      </text>
    </comment>
    <comment authorId="0" ref="T97">
      <text>
        <t xml:space="preserve">ЕШКА - 2.5 ЧАСТИЦЫ ЗА ПЕРВОЕ НАЖАТИЕ
5 - ЗА ДВЕ ПЕРВЫЕ ЕШКИ
ЕСТЬ УЛЬТА КОТОРАЯ СТОИТ 30Е</t>
      </text>
    </comment>
    <comment authorId="0" ref="U97">
      <text>
        <t xml:space="preserve">РОТАЦИЯ:
ЕШКА\ПРЫЖОК х2 - БЫСТРАЯ УЛЬТА - ЕШКА\ПРЫЖОК х2 - БЫСТРАЯ УЛЬТА
☘️☘️☘️
ЕШКА - 4 СС (4 УДАРА)
ПРЫЖОК - 4 СС (4 УДАРА)
----
ЗАРЯЖКА - 4 СС (4 УДАРА)(ИЗ-ЗА ЕШКИ ВРЯД ЛИ БУДЕТ СТАТУС ДАВАТЬ!)
---
УЛЬТА - 2 СС (2 УДАРА)
РОТАЦИЯ: 10 СС</t>
      </text>
    </comment>
    <comment authorId="0" ref="X97">
      <text>
        <t xml:space="preserve">БЫСТРО БЕГАЕТ И ВЫСОКО ПРЫГАЕТ В ЕШКЕ</t>
      </text>
    </comment>
    <comment authorId="0" ref="E98">
      <text>
        <t xml:space="preserve">РОТАЦИЯ:
ЕШКА - УЛЬТА - РЫВОК</t>
      </text>
    </comment>
    <comment authorId="0" ref="Q98">
      <text>
        <t xml:space="preserve">С2. ПОНИЖАЕТ ⚡ СОПРОТИВЛЕНИЕ ПРОТИВНИКА НА 15% ПРИ ПОПАДАНИИ УЛЬТЫ НА 8 сек.</t>
      </text>
    </comment>
    <comment authorId="0" ref="T98">
      <text>
        <t xml:space="preserve">1 - БЫСТРАЯ ЕШКА
9 - ЭНЕРГИЯ С ПОЛА
(18) - ЭНЕРГИЯ С ПОЛА, ЕСЛИ МЕНЬШЕ 35% ЕНЕРГИИ
40% - БОНУС ВЭ С ЕШКИ, ТОМУ КТО ПОДНЯЛ С ПОЛА</t>
      </text>
    </comment>
    <comment authorId="0" ref="U98">
      <text>
        <t xml:space="preserve">РОТАЦИЯ:
ЕШКА - УЛЬТА - ДЭШ
☘️☘️☘️
ЕШКА - 2 СС (3 УДАРА, НО ЛИМИТ)
УЛЬТА АКТИВАЦИЯ - 1 СС
УЛЬТА КАРМАН - 6 СС 
(12 УДАРОВ, НО УДАРЫ СЛИШКОМ БЫСТРЫЕ, ИЗ-ЗА ЧЕГО ЛИМИТЫ МЕШАЮТ)
РОТАЦИЯ: 9 СС</t>
      </text>
    </comment>
    <comment authorId="0" ref="E99">
      <text>
        <t xml:space="preserve">РОТАЦИЯ:
ЕШКА - УЛЬТА</t>
      </text>
    </comment>
    <comment authorId="0" ref="G99">
      <text>
        <t xml:space="preserve">РОТАЦИЯ:
ЕШКА - (2 УДАРА \ ДЭШ) х2 - УЛЬТА</t>
      </text>
    </comment>
    <comment authorId="0" ref="L99">
      <text>
        <t xml:space="preserve">РОТАЦИЯ:
ЕШКА - (2 УДАРА \ ДЭШ) х2 - УЛЬТА - (ЕШКА - (2 УДАРА \ ДЭШ) х2) х2
РОТАЦИЯ ДОЛГАЯ. БУДЕТ 13-14 сек.</t>
      </text>
    </comment>
    <comment authorId="0" ref="R99">
      <text>
        <t xml:space="preserve">УЛЬТА ЗАЛИВАЕТ 8,8к ЗА ТИК
ТИКОВ 6
52,8к АКТИВНОМУ С УЛЬТЫ
1,7к ВСЕМ НА С6 ЗА УДАР.
УДАРОВ МОЖНО СДЕЛАТЬ ОЧЕНЬ МНОГО ЗА РОТАЦИЯ
6,8к СУММАРНО ЗА УДАР
59,6к СУММАРНО
ЕСЛИ ИГРАТЬ В ФУЛЛ МС, ХИЛЛ БУДЕТ В РАЗА 2 СЛАБЕЙ
</t>
      </text>
    </comment>
    <comment authorId="0" ref="T99">
      <text>
        <t xml:space="preserve">2 - ЕШКА
12Е - ЭНЕРГИЯ ДЛЯ ДОРИ С ЕШКИ
15Е - ЭНЕРГИЯ С УЛЬТЫ АКТИВНОМУ
30% - ВЭ АКТИВНОМУ С СОЗВЕЗДИЯ С4</t>
      </text>
    </comment>
    <comment authorId="0" ref="U99">
      <text>
        <t xml:space="preserve">РОТАЦИЯ:
ЕШКА - (2 УДАРА \ ДЭШ) х2 - УЛЬТА
☘️☘️☘️
ЕШКА 4 УДАРА - 2 СС
4 УДАРА - 4 СС
С2 3 УДАРА - 3 СС
---
УЛЬТА - 3 СС (ОЧЕНЬ МНОГО УДАРОВ, И НЕ ФАКТ ЧТО ВООБЩЕ БУДУТ КАСАТЬСЯ ВРАГА... )
(НО НАЛОЖИТЬСЯ МОЖНО ТОЛЬКО ОДИН РАЗ В 3 сек.)
РОТАЦИЯ: 12 СС</t>
      </text>
    </comment>
    <comment authorId="0" ref="X99">
      <text>
        <t xml:space="preserve">УЛЬТА НАКЛАДЫВАЕТ ЭЛЕКТРО СТАТУС НА АКТИВНОГО ПЕРСОНАЖА</t>
      </text>
    </comment>
    <comment authorId="0" ref="E100">
      <text>
        <t xml:space="preserve">РОТАЦИЯ:
ЕШКА - УЛЬТА</t>
      </text>
    </comment>
    <comment authorId="0" ref="G100">
      <text>
        <t xml:space="preserve">РОТАЦИЯ:
ЕШКА - УДАР - УЛЬТА</t>
      </text>
    </comment>
    <comment authorId="0" ref="Q100">
      <text>
        <t xml:space="preserve">УЛЬТА ДАЁТ СА АКТИВНОМУ ПЕРСОНАЖУ! КОЛИЧЕСТВО СА ЗАВИСИТ ОТ ДИНАМИЧНОСТИ ПЕРСОНАЖА!
СТОЯЧИЕ ПЕРСЫ ТРЕБУЮТ БОЛЬШЕ СА ОТ САМОЙ ИАНСАН, ДАБЫ ПРИ ПОТЕРИ 42 НОЧНОГО ДУХА, НЕ ПОТЕРЯТЬ ПИК БАФФА!
ДВИГАЮЩИЙСЯ/СТОЯЧИЙ ПЕРСОНАЖ
10 ЛВЛ (690 ЕД. СА) = 2556/3834 СА ИАНСАН
13 ЛВЛ (810 ЕД. СА) = 3000/4500 СА ИАНСАН
C2. УВЕЛИЧИВАЕТ СА АКТИВНОГО ПЕРСОНАЖА НА 30% ВО ВРЕМЯ ДЕЙСТВИЯ УЛЬТЫ
C6. ДАЁТ 25% АФФИКСА УРОНА ПРИ ПЕРЕИЗБЫТКЕ НОЧНОГО ДУХА ИАНСАН! 
⛔️ СО СТОЯЧИМИ НЕ РАБОТАЕТ!
ДАЖЕ НЕ ВСЕ АКТИВНЫЕ ПЕРСЫ ПОЛУЧАЮТ БАФФ!
РАБОТАЕТ СТАБИЛЬНО ТОЛЬКО С НАТЛАНЦАМИ!⛔️
⛔️БАФФ УЛЬТЫ НЕ СНЕП-ШОТНЫЙ! ТО ЕСТЬ ОН НЕ ФИКСИРУЕТ СА ИАСАН В МОМЕНТ НАЖАТИЯ!⛔️</t>
      </text>
    </comment>
    <comment authorId="0" ref="R100">
      <text>
        <t xml:space="preserve">КОГДА НОЧНАЯ ВСПЫШКА ДВАЖДЫ АКТИВИРУЕТСЯ, ВМЕСТЕ С ШИЛОНЕН, ТО ХИЛ БУДЕТ 12к И ТО НЕ ВСЕГДА!
МОЖНО ДВЕ ВСПЫШКИ С 3 НАТЛАНЦАМИ СДЕЛАТЬ. ТАК ЛУЧШЕ БУДЕТ, НО ВСЁ ТАК ЖЕ 12к</t>
      </text>
    </comment>
    <comment authorId="0" ref="T100">
      <text>
        <t xml:space="preserve">4 - ЕШКА
15Е - С1 ДАЁТ ПРИ НАЖАТИЕ УЛЬТЫ СЕБЕ</t>
      </text>
    </comment>
    <comment authorId="0" ref="U100">
      <text>
        <t xml:space="preserve">РОТАЦИЯ:
ЕШКА - УЛЬТА
☘️☘️☘️
ЕШКА - 1 СС
УЛЬТА - 2 СС
РОТАЦИЯ: 3 СС</t>
      </text>
    </comment>
    <comment authorId="0" ref="X100">
      <text>
        <t xml:space="preserve">В ЕШКЕ БЫСТРО БЕГАЕТ ПО ЗЕМЛЕ И ВЫСОКО ПРЫГАЕТ</t>
      </text>
    </comment>
    <comment authorId="0" ref="E101">
      <text>
        <t xml:space="preserve">РОТАЦИЯ:
ЕШКА</t>
      </text>
    </comment>
    <comment authorId="0" ref="G101">
      <text>
        <t xml:space="preserve">РОТАЦИЯ:
ЕШКА - УЛЬТ</t>
      </text>
    </comment>
    <comment authorId="0" ref="Q101">
      <text>
        <t xml:space="preserve">ДАЁТ 14% ПРИБАВКИ В ЛУННЫЕ ЗАРЯЖЕННЫЕ. БАФФ ЗАВИСИТ ОТ СА ИНЕФФЫ. БАФФ СТАКАЕТСЯ С ДРУГИМИ ПОХОЖИМИ БАФФАМИ
ПИК БАФФА НА 2к СА
П2. ДАЁТ МС СЕБЕ И АКТИВНОМУ ПЕРСОНАЖУ В ЗАВИСИМОСТИ ОТ СВОЕЙ СА.
ПОСЛЕ НАЖАТИЯ УЛЬТЫ!
ПРИ 2к СА = 120 МС
ПРИ 3к СА = 180 МС</t>
      </text>
    </comment>
    <comment authorId="0" ref="S101">
      <text>
        <t xml:space="preserve">ЩИТ МОЖЕТ БЫТЬ КАК И 12к
ТАК И 14к
НО В СРЕДНЕМ 13к</t>
      </text>
    </comment>
    <comment authorId="0" ref="T101">
      <text>
        <t xml:space="preserve">КАЖДЫЙ УДАР ЕШКИ ДАЁТ 1 ЧАСТИЦУ!
ВСЕГО УДАРОВ 10 = 10 ЧАСТИЦ</t>
      </text>
    </comment>
    <comment authorId="0" ref="U101">
      <text>
        <t xml:space="preserve">РОТАЦИЯ:
ЕШКА - УЛЬТ
☘️☘️☘️
ЕШКА НАЖАТИЕ - 1 СС
ЕШКА КАРМАН 10 РАЗ - 10 СС
ВЗРЫВ СТИХИЙ - 1 СС
---
П1  - СТАТУСА НЕ ИМЕЕТ!
РОТАЦИЯ: 12 СС</t>
      </text>
    </comment>
    <comment authorId="0" ref="X101">
      <text>
        <t xml:space="preserve">МЕНЯЕТ РЕАКЦИЮ ЗАРЯЖЕН НА ЛУННЫЙ ЗАРЯД 
20 сек. Р. - РОТАЦИЯ ИНЕФФИ В ТАБЛИЦЕ ДЛИТСЯ 20 СЕКУНД</t>
      </text>
    </comment>
    <comment authorId="0" ref="E102">
      <text>
        <t xml:space="preserve">РОТАЦИЯ:
ЕШКА - (3 УДАРА - ЕШКА) х6</t>
      </text>
    </comment>
    <comment authorId="0" ref="G102">
      <text>
        <t xml:space="preserve">РОТАЦИЯ:
УЛЬТА - ЕШКА -  ЕШКА - (3 УДАРА - ЕШКА) х5</t>
      </text>
    </comment>
    <comment authorId="0" ref="R102">
      <text>
        <t xml:space="preserve">КАЖДЫЙ ВЫПАД НА 100+ ДОЛГА ЖИЗНИ ДАЁТ 2к ХП
ТАКИХ ВЫПАДОВ В СРЕДНЕМ 6</t>
      </text>
    </comment>
    <comment authorId="0" ref="T102">
      <text>
        <t xml:space="preserve">ГЕНЕРИРУЕТ 1 ЧАСТИЦУ С ЕШКИ ЗА УДАРЫ. НО ТАМ ЛИМИТ В 1 ЧАСТИЦУ В 2 сек. ИЗ-ЗА ЧЕГО МЫ УСПЕВАЕМ ТОЛЬКО 4 ЧАСТИЦЫ СДЕЛАТЬ</t>
      </text>
    </comment>
    <comment authorId="0" ref="U102">
      <text>
        <t xml:space="preserve">РОТАЦИЯ:
УЛЬТА - ЕШКА -  ЕШКА - (3 УДАРА - ЕШКА) х5
☘️☘️☘️
УЛЬТА НАЖАТИЕ - 2 СС (УДАРОВ 5, НО ЛИМИТЫ ДАЮТ ТОЛЬКО 2 СС)
----
ЕШКА - 11 СС 
(УДАРОВ 23, НО ТАМ ЛИМИТ СТАНДАРТНЫЙ, ЗНАЧИТ СТАТУС НАКЛАДЫВАЕТ ЧЕРЕЗ РАЗ)
РОТАЦИЯ: 13 СС
</t>
      </text>
    </comment>
    <comment authorId="0" ref="W102">
      <text>
        <t xml:space="preserve">0,3 - БАФФ ОТ С2
0 - БАФФ ОТ С6
0 - ВО ВРЕМЯ РЫВКА ЕШКИ</t>
      </text>
    </comment>
    <comment authorId="0" ref="X102">
      <text>
        <t xml:space="preserve">МОБ - В ЕШКЕ ДЕЛАЕТ БЫСТРЫЙ РЫВОК</t>
      </text>
    </comment>
    <comment authorId="0" ref="E103">
      <text>
        <t xml:space="preserve">РОТАЦИЯ:
ЕШКА</t>
      </text>
    </comment>
    <comment authorId="0" ref="G103">
      <text>
        <t xml:space="preserve">РОТАЦИЯ:
ЕШКА - УЛЬТА</t>
      </text>
    </comment>
    <comment authorId="0" ref="P103">
      <text>
        <t xml:space="preserve">УРОНА МЕНЬШЕ ЧЕМ У ТОМЫ, ПОТОМУ ЧТО МЫ ИГРАЕМ С ФУРИНОЙ, А ЕЁ ГИДРО МАЛОВАТО ДЛЯ ВЕГЕТАЦИИ.
ИЗ-ЗА ЧЕГО БУТОНОВ МЕНЬШЕ, ЧЕМ У ТОМЫ</t>
      </text>
    </comment>
    <comment authorId="0" ref="R103">
      <text>
        <t xml:space="preserve">43к ЭТО В ХП\ХП\ЛЕЧЕНИЕ
КАЖДЫЙ ТИК ДАЁТ 4.3к, А ТИКОВ 10
НО ЕСЛИ СОБРАТЬСЯ В МС\МС\МС ТО ТИК ДАЁТ 36к</t>
      </text>
    </comment>
    <comment authorId="0" ref="T103">
      <text>
        <t xml:space="preserve">КАЖДОЕ КАСАНИЕ ЕШКИ В ТОМ ЧИСЛЕ И С4 ДАЁТ НАМ 0.45 ЧАСТИЦ
10 С КАРМАН - 4.5
3 МЕТКА ГРОМА - 1.35
РОТАЦИЯ: 5.9 ЧАСТИЦ</t>
      </text>
    </comment>
    <comment authorId="0" ref="U103">
      <text>
        <t xml:space="preserve">РОТАЦИЯ:
ЕШКА - УЛЬТА 
☘️☘️☘️
ЕШКА НАЖАТИЕ - 1 СС
ЕШКА КАРМАН - 10 СС (10 УДАРОВ)
---
МЕТКА ГРОМА С4 - 3 СС
---
УЛЬТА - 3\5 СС (3 СС ЭТО СЛАБЫЙ УЛЬТ \ 5 СС ЭТО СИЛЬНЫЙ УЛЬТ НА ЛОУ ХП)
РОТАЦИЯ: 19 СС</t>
      </text>
    </comment>
    <comment authorId="0" ref="X103">
      <text>
        <t xml:space="preserve">НА С6 - МОЖНО ПЕРЕЖИТЬ ОДИН УДАР НА 1 ХП</t>
      </text>
    </comment>
    <comment authorId="0" ref="E104">
      <text>
        <t xml:space="preserve">РОТАЦИЯ:
ЕШКА х2 - УЛЬТА - ЗАРЯЖЕННАЯ х3</t>
      </text>
    </comment>
    <comment authorId="0" ref="G104">
      <text>
        <t xml:space="preserve">РОТАЦИЯ:
ЕШКА - УЛЬТА - ЕШКА - ЗАРЯЖЕННАЯ х2 - ЕШКА - ЗАРЯЖЕННАЯ х2</t>
      </text>
    </comment>
    <comment authorId="0" ref="T104">
      <text>
        <t xml:space="preserve">ЕШКА ДАЁТ 2.5 ЧАСТИЦЫ
ЕШКУ МЫ НАЖИМАЕМ 2 РАЗА
ЕШКА ДАЁТ ЧАСТИЦЫ ТОЛЬКО ПОСЛЕ ВТОРОГО УДАРА. ЛЮБОГО!</t>
      </text>
    </comment>
    <comment authorId="0" ref="U104">
      <text>
        <t xml:space="preserve">РОТАЦИЯ:
ЕШКА - УЛЬТА - ЕШКА - ЗАРЯЖЕННАЯ х2 - ЕШКА - ЗАРЯЖЕННАЯ х2
☘️☘️☘️
СТИЛЕТ х2 - 2 СС
ЕШКА ПОВТОРНО х2 - 4 СС
---
УЛЬТА - 3 СС
(УДАРОВ 10, НО ЛИМИТЫ МЕШАЮТ)
(ПО ФАКТУ ПЕРВЫЙ И ПОСЛЕДНИЙ УДАР НАКЛАДЫВАЮТ 1 СС И ОДИН УДАР С КОМБО НАЛОЖИТ)
---
ОБЫЧНЫЕ\ЗАРЯЖЕННЫЕ - 4 СС (УДАРОВ 12, НО КАК ВСЕГДА ЛИМИТЫ)
(ОБЫЧНЫЕ И ЗАРЯЖЕННЫЕ ИМЕЮТ ОБЩИЙ ОТКАТ, ИЗ-ЗА ЧЕГО ОБЫЧНЫЙ УДАР ВСЕГДА ЗАБИРАЕТ СЕБЕ ВСЕ РЕАКЦИИ)
РОТАЦИЯ: 13 СС</t>
      </text>
    </comment>
    <comment authorId="0" ref="W104">
      <text>
        <t xml:space="preserve">ВО ВРЕМЯ РЫВКА ЕШКИ</t>
      </text>
    </comment>
    <comment authorId="0" ref="E105">
      <text>
        <t xml:space="preserve">РОТАЦИЯ:
УЛЬТА</t>
      </text>
    </comment>
    <comment authorId="0" ref="G105">
      <text>
        <t xml:space="preserve">РОТАЦИЯ:
ДОЛГАЯ ЕШКА - УЛЬТА</t>
      </text>
    </comment>
    <comment authorId="0" ref="Q105">
      <text>
        <t xml:space="preserve">УЛЬТ СНИЖАЕТ ЗАЩИТУ ПРОТИВНИКА НА 15% НА 10 сек.</t>
      </text>
    </comment>
    <comment authorId="0" ref="T105">
      <text>
        <t xml:space="preserve">0 - БЫСТРАЯ ЕШКА
(5) - ДОЛГАЯ ЕШКА</t>
      </text>
    </comment>
    <comment authorId="0" ref="U105">
      <text>
        <t xml:space="preserve">РОТАЦИЯ:
ДОЛГАЯ ЕШКА - УЛЬТА
☘️☘️☘️
ДОЛГАЯ ЕШКА - 2 СС
УЛЬТА КАРМАН - 8 СС (30 УДАРОВ, НО ЛИМИТЫ МЕШАЮТ)
РОТАЦИЯ: 10 СС</t>
      </text>
    </comment>
    <comment authorId="0" ref="W105">
      <text>
        <t xml:space="preserve">ВО ВРЕМЯ КАСТА ЕШКИ
НА С2 ДАЁТ 0,5 ДОПОМ
ТО ЕСТЬ 0,2*0,5 = 0,1</t>
      </text>
    </comment>
    <comment authorId="0" ref="X105">
      <text>
        <t xml:space="preserve">УЛЬТА ПОСЛЕ ПОЯВЛЕНИЯ ФИКСИРУЕТ БАФФЫ</t>
      </text>
    </comment>
    <comment authorId="0" ref="E106">
      <text>
        <t xml:space="preserve">РОТАЦИЯ:
ЕШКА - УЛЬТА</t>
      </text>
    </comment>
    <comment authorId="0" ref="Q106">
      <text>
        <t xml:space="preserve">С6. ДАЁТ 10% СА АКТИВНОМУ ПЕРСОНАЖУ НА 9 СЕК. ДО ТРЁХ РАЗ ПОСЛЕ АКТИВАЦИИ СВЕРХЧУВСТВИТЕЛЬНОСТИ П1
ВСЕГО = 30% СА</t>
      </text>
    </comment>
    <comment authorId="0" ref="T106">
      <text>
        <t xml:space="preserve">3 - ЕШКА
18Е - П2. ЗАЛИВАЕТ АКТИВНОМУ ПЕРСОНАЖУ 9Е И СЕБЕ 9Е
8E - С4 ПРИ НАЖАТИЕ УЛЬТЫ ДАЁТ 8Е СЕБЕ</t>
      </text>
    </comment>
    <comment authorId="0" ref="U106">
      <text>
        <t xml:space="preserve">РОТАЦИЯ:
ЕШКА - УЛЬТА
☘️☘️☘️
ЕШКА - 1 СС
НАЖАТИЕ УЛЬТЫ -  1 СС
---
УЛЬТА КАР. 9 УДАРОВ - 3 СС (ЛИМИТ СТАТУСА РАЗ В 3 сек.)(ДАЖЕ НА С4 НИЧЕГО НЕ МЕНЯЕТСЯ...)
---
П1. 9 УДАРОВ - 3 СС (ЛИМИТ СТАТУСА РАЗ В 2.5 сек.)(ОТКАТ ОБЩИЙ С ЕШКОЙ)
РОТАЦИЯ: 8 СС</t>
      </text>
    </comment>
    <comment authorId="0" ref="W106">
      <text>
        <t xml:space="preserve">ВО ВРЕМЯ УНИКАЛЬНОГО ПОЛЁТА</t>
      </text>
    </comment>
    <comment authorId="0" ref="X106">
      <text>
        <t xml:space="preserve">ВЗЛЕТАЕТ И ПАРИТ ВО ВРЕМЯ ДОЛГОГО ПРЫЖКА</t>
      </text>
    </comment>
    <comment authorId="0" ref="E107">
      <text>
        <t xml:space="preserve">РОТАЦИЯ:
ЕШКА</t>
      </text>
    </comment>
    <comment authorId="0" ref="G107">
      <text>
        <t xml:space="preserve">РОТАЦИЯ:
ЕШКА - УЛЬТА - 5 ЗАРЯЖЕННЫХ</t>
      </text>
    </comment>
    <comment authorId="0" ref="P107">
      <text>
        <t xml:space="preserve">РАЙДЭН НЕРЕАЛЬНОЕ КОЛИЧЕСТВО БУТОНОВ ЛОПАЕТ, КОГДА ЕСТЬ КУЧА ГИДРО И ДЕНДРО СТАТУСА!</t>
      </text>
    </comment>
    <comment authorId="0" ref="Q107">
      <text>
        <t xml:space="preserve">ЕШКА УВЕЛИЧИВАЕТ АФФИКС ВЗРЫВА СТИХИЙ ВСЕМ!
БАФФ ЗАВИСИТ ОТ СТОИМОСТИ УЛЬТЫ АКТИВНОГО ПЕРСА:
90Е = 27%
80Е = 24%
60Е = 18%
40Е = 12%
⛔️БАФФ НЕЛЬЗЯ ЗАФИКСИРОВАТЬ СНЕП-ШОТОМ!⛔️</t>
      </text>
    </comment>
    <comment authorId="0" ref="T107">
      <text>
        <t xml:space="preserve">8 - ЕШКА ДАЁТ 0.5 КАЖДЫЙ РАЗ ОТ УДАРА. БУДЕТ 16 УДАРОВ
22Е - ЗАЛИВКА С УЛЬТЫ ВСЕМ 
(ПРИ 227% ВЭ) 
(В ФУЛЛ МС МЕНЬШЕ ЭНЕРГИИ!)
(НАПРИМЕР ЕСЛИ БУДЕТ 160% ВЭ = ТО С УЛЬТЫ БУДЕТ 17Е ВСЕМ)</t>
      </text>
    </comment>
    <comment authorId="0" ref="U107">
      <text>
        <t xml:space="preserve">РОТАЦИЯ:
ЕШКА - УЛЬТА - 5 ЗАРЯЖЕННЫХ
☘️☘️☘️
ЕШКА НАЖАТИЕ - 1 СС
ЕШКА КАРМАН 16 РАЗ - 8 СС (УДАРОВ МНОГО, НО РЕАКЦИИ АКТИВИРУЕТ КАЖДЫЙ 2й)(БУТОНОВ ЭТО НЕ КАСАЕТСЯ!)
---
УЛЬТА НАЖАТИЕ - 2 СС
---
ЗАРЯЖЕННЫЕ 5 РАЗ - 8 СС (УДАРОВ 15, НО ЛИМИТЫ КАК ВСЕГДА ДУШАТ)
РОТАЦИЯ: 19 СС
</t>
      </text>
    </comment>
    <comment authorId="0" ref="W107">
      <text>
        <t xml:space="preserve">ВО ВРЕМЯ УЛЬТЫ</t>
      </text>
    </comment>
    <comment authorId="0" ref="X107">
      <text>
        <t xml:space="preserve">18 сек. Р. - РОТАЦИЯ РАЙДЭН В РАМКАХ ТАБЛИЦЫ ДЛИТСЯ 18 СЕКУНД</t>
      </text>
    </comment>
    <comment authorId="0" ref="E108">
      <text>
        <t xml:space="preserve">РОТАЦИЯ:
ЕШКА - УЛЬТА - ЕШКА - 3 УДАРА х4 - ЕШКА ДОЛГАЯ</t>
      </text>
    </comment>
    <comment authorId="0" ref="G108">
      <text>
        <t xml:space="preserve">РОТАЦИЯ:
ЕШКА - УЛЬТА - ЕШКА - 3 УДАРА х3 - ЕШКА - 3 УДАРА х3 - ЕШКА ДОЛГАЯ - 3 УДАРА х3</t>
      </text>
    </comment>
    <comment authorId="0" ref="P108">
      <text>
        <t xml:space="preserve">ОН ЗДЕСЬ НА ПОЛЕ И В ШАБАШЕ! ПРОСТО НЕКУДА ЕГО ЛЕПИТЬ. ПОЭТОМУ СЮДА ДОБАВИЛ</t>
      </text>
    </comment>
    <comment authorId="0" ref="Q108">
      <text>
        <t xml:space="preserve">С4. ПОНИЖАЕТ ЗЩ ПРОТИВНИКА НА 15% ПОСЛЕ ПОПАДАНИЯ ЕШКОЙ НА 7 сек.</t>
      </text>
    </comment>
    <comment authorId="0" ref="T108">
      <text>
        <t xml:space="preserve">10 - ( 6 БЫСТРАЯ ЕШКА + 4 ДОЛГАЯ ЕШКА)
10Е - (5Е С ДОЛГОЙ ЕШКИ + 5Е С УЛЬТЫ)
50% ВЭ - ЕШКА + П2</t>
      </text>
    </comment>
    <comment authorId="0" ref="U108">
      <text>
        <t xml:space="preserve">РОТАЦИЯ:
ЕШКА - УЛЬТА - ЕШКА - 3 УДАРА х4 - ЕШКА ДОЛГАЯ
☘️☘️☘️
ЕШКА - 2 СС
УЛЬТА АКТИВАЦИЯ - 2 СС
ЕШКА УЛЬТА - 2 СС
ЕШКА ДОЛГАЯ УЛЬТА - 2 СС
---
УДАРЫ ВОЛКА - 8 СС (12 УДАРОВ, НО ЛИМИТЫ МЕШАЮТ)
С6 - 1 СС
РОТАЦИЯ: 17 СС
</t>
      </text>
    </comment>
    <comment authorId="0" ref="W108">
      <text>
        <t xml:space="preserve">ВО ВРЕМЯ УЛЬТЫ</t>
      </text>
    </comment>
    <comment authorId="0" ref="X108">
      <text>
        <t xml:space="preserve">СОП+ - ВО ВРЕМЯ СТОЙКИ УЛЬТЫ, РЕЙЗОР НЕ ПОЛУЧАЕТ УРОНА ОТ 💧⚡️ И ПОЛУЧАЕТ НА 80% МЕНЬШЕ ЭЛЕКТРО⚡️ УРОНА</t>
      </text>
    </comment>
    <comment authorId="0" ref="E109">
      <text>
        <t xml:space="preserve">РОТАЦИЯ:
ЕШКА - УЛЬТА - 3 УДАРА - ЕШКА - (5 УДАРОВ - ЕШКА) х3</t>
      </text>
    </comment>
    <comment authorId="0" ref="G109">
      <text>
        <t xml:space="preserve">РОТАЦИЯ:
ЕШКА - УЛЬТА - 3 УДАРА - ЕШКА - (5 УДАРОВ - ЕШКА) х4 - 3 УДАРА - ЕШКА</t>
      </text>
    </comment>
    <comment authorId="0" ref="T109">
      <text>
        <t xml:space="preserve">ЕШКА ОБЫЧНАЯ - 3 ЧАСТИЦЫ
ЕШКА УЛЬТА - 1,33 ЧАСТИЦЫ
ЕШКА УЛЬТА 4 ШТУКИ = 5,32 ЧАСТИЦ
СУММАРНО = 8,3</t>
      </text>
    </comment>
    <comment authorId="0" ref="U109">
      <text>
        <t xml:space="preserve">РОТАЦИЯ:
ЕШКА - УЛЬТА - 3 УДАРА - ЕШКА - (5 УДАРОВ - ЕШКА) х3
☘️☘️☘️
ЕШКА ОБЫЧНАЯ - 1 СС
ЕШКА РИТУАЛ - 4 СС
---
ЕШКА БЕДСТВИЕ -  3 СС (9 УДАРОВ, ИЗ-ЗА ЕШКИ СТАТУС НАЛОЖИТЬ НЕ ПОЛУЧИТСЯ)
---
УДАРЫ - 12 СС (18 УДАРОВ, НО ЛИМИТЫ МЕШАЮТ)
РОТАЦИЯ: 20 СС</t>
      </text>
    </comment>
    <comment authorId="0" ref="W109">
      <text>
        <t xml:space="preserve">ВО ВРЕМЯ УЛЬТЫ</t>
      </text>
    </comment>
    <comment authorId="0" ref="E110">
      <text>
        <t xml:space="preserve">РОТАЦИЯ:
ЕШКА - УЛЬТА</t>
      </text>
    </comment>
    <comment authorId="0" ref="G110">
      <text>
        <t xml:space="preserve">РОТАЦИЯ:
ЕШКА - ПРИЦЕЛ - ПАУЗА - УЛЬТА</t>
      </text>
    </comment>
    <comment authorId="0" ref="Q110">
      <text>
        <t xml:space="preserve">ЕШКА И УЛЬТ ДАЁТ СА НА 6 сек. ПОСЛЕ ВХОДА В ЗОНУ ВЗРЫВА! РАБОТАЕТ ТОЛЬКО НА АКТИВНОГО ПЕРСОНАЖА
10 ЛВЛ\13 ЛВЛ
870 БА = 670\792 СА
803 БА = 618\731 СА
650 БА = 500\596 СА
С6. УВЕЛИЧИВАЕТ КРИТ. ⚡УРОНА НА 60% ПОД БАФФОМ ЕШКИ И УЛЬТЫ</t>
      </text>
    </comment>
    <comment authorId="0" ref="T110">
      <text>
        <t xml:space="preserve">3 - ЕШКА
1.5Е - ВСЕМ ПЕРСОНАЖАМ С ПАССИВКИ (125% ВЭ)</t>
      </text>
    </comment>
    <comment authorId="0" ref="U110">
      <text>
        <t xml:space="preserve">РОТАЦИЯ:
ЕШКА - ПРИЦЕЛ - ПАУЗА - УЛЬТА
☘️☘️☘️
ЕШКА С2 - 1 СС
ЕШКА ПРИЦЕЛ - 1 СС
УЛЬТА АКТИВАЦИЯ - 1 СС
УЛЬТА МОЛНИИ - 2 СС (ХОТЯ УДАРОВ МНОГО, НО ЛИМИТЫ)
РОТАЦИЯ: 5 СС</t>
      </text>
    </comment>
    <comment authorId="0" ref="X110">
      <text>
        <t xml:space="preserve">УЛЬТ МОЖЕТ ЗАФИКСИРОВАТЬ БАФФ ПРЯМ ПЕРЕД УДАРОМ!
С6(+60 ЭЛЕКТРО УРОНА) - НЕЛЬЗЯ ЗАФИКСИРОВАТЬ, НАПРИМЕР ФИШКОЙ</t>
      </text>
    </comment>
    <comment authorId="0" ref="E111">
      <text>
        <t xml:space="preserve">РОТАЦИЯ:
ЕШКА - УЛЬТА - (1 - 2 УДАР)х8</t>
      </text>
    </comment>
    <comment authorId="0" ref="G111">
      <text>
        <t xml:space="preserve">РОТАЦИЯ:
ЕШКА - ЗАРЯЖЕННАЯ - *ПАУЗА* - ЕШКА - УЛЬТА - (1 - 2 УДАР)х8 - ЗАРЯЖЕННАЯ</t>
      </text>
    </comment>
    <comment authorId="0" ref="T111">
      <text>
        <t xml:space="preserve">2 - ЕШКА
4 - ДВЕ ЕШКИ
12Е - ЕШКА В РЕАКЦИЯХ
24Е - ДВЕ ЕШКИ В РЕАКЦИИ</t>
      </text>
    </comment>
    <comment authorId="0" ref="U111">
      <text>
        <t xml:space="preserve">РОТАЦИЯ:
ЕШКА - ЗАРЯЖЕННАЯ - ПАУЗА - ЕШКА - УЛЬТА - (1 - 2 УДАР)х8 - ЗАРЯЖЕННАЯ
☘️☘️☘️
ЕШКА 2 РАЗА - 2 СС
ЗАРЯЖЕН. 2 РАЗА - 4 СС
УДАРЫ - 8 СС (УДАРОВ 24, НО ЛИМИТЫ ДУШАТ КАК ВСЕГДА)
РОТАЦИЯ: 14 СС
</t>
      </text>
    </comment>
    <comment authorId="0" ref="X111">
      <text>
        <t xml:space="preserve">У СЕТОСА ЕСТЬ СВОЯ УНИКАЛЬНАЯ ЗАРЯЖЕННАЯ АТАКА!
ВО ВРЕМЯ ЭТОЙ ЗАРЯЖЕННОЙ СЕТОС СТОИТ НА МЕСТЕ</t>
      </text>
    </comment>
    <comment authorId="0" ref="E112">
      <text>
        <t xml:space="preserve">РОТАЦИЯ:
УЛЬТА ИЛИ ЕШКА</t>
      </text>
    </comment>
    <comment authorId="0" ref="G112">
      <text>
        <t xml:space="preserve">РОТАЦИЯ:
ЕШКА - УЛЬТА
НА САМОМ ДЕЛЕ НАЖИМАТЬ ЕШКУ И СРАЗУ УЛЬТУ. НЕ ЭФФЕКТИВНО! ПОЭТОМУ НУЖНО ЧТО-ТО ОДНО НАЖАТЬ!</t>
      </text>
    </comment>
    <comment authorId="0" ref="R112">
      <text>
        <t xml:space="preserve">ПРИ НАЖАТИИ УЛЬТЫ ФИШЛЬ ПОЛУЧАЕТ 3к ХИЛА С С4</t>
      </text>
    </comment>
    <comment authorId="0" ref="T112">
      <text>
        <t xml:space="preserve">КАЖДЫЙ УДАР ОЗА ДАЁТ 0,67 ЧАСТИЦ
УДАРОВ 17 ЗА 20 сек. = 11,4 ЧАСТИЦ</t>
      </text>
    </comment>
    <comment authorId="0" ref="U112">
      <text>
        <t xml:space="preserve">РОТАЦИЯ:
УЛЬТА - ЕШКА
☘️☘️☘️
УЛЬТА АКТИВАЦИЯ - 1 СС
УЛЬТА С4 - 2 СС
ЕШКА С2 - 1 СС
---
ОЗ КАРМАН 17 УДАРОВ - 16 СС (ЛИМИТ 4 СС В 5 сек.)(РОТАЦИЯ У НАС 20 сек., А ЗНАЧИТ ПОЧТИ ЛЮБОЙ УДАР ОЗА ЭТО СТАТУС!)
---
ОЗ С6 - ИМЕЕТ ОБЩИЙ ОТКАТ СТАТУСА С ЕШКОЙ, НО ПО ФАКТУ НИКОГДА РЕАКЦИИ НЕ АКТИВИРУЕТ! ЭТО ВСЕГДА ДЕЛАЕТ САМ ОЗ
---
БОЖЕСТВЕННАЯ МОЛНИЯ - 20 СС 
(ЛИМИТОВ НЕТ)(УДАРОВ 20)
---
ЁЁ ГЛАВНАЯ ПРОБЛЕМА В СС ЭТО ПЕРЕЗАРЯДКА САМЫХ РЕАКЦИЙ, НО НИКАК НЕ ЁЁ СС
РОТАЦИЯ: 40 СС
</t>
      </text>
    </comment>
    <comment authorId="0" ref="W112">
      <text>
        <t xml:space="preserve">ВО ВРЕМЯ ПОЛЁТА УЛЬТЫ</t>
      </text>
    </comment>
    <comment authorId="0" ref="X112">
      <text>
        <t xml:space="preserve">ОЗ(ВОРОН) - ПРИ ПОЯВЛЕНИИ ФИКСИРУЕТ БАФФЫ. НО!
НУЖНО НЕМНОГО ПОДОЖДАТЬ, ПЕРЕД ПОЯВЛЕНИЕМ ОЗА.
СНЕПШОТ РАБОТАЕТ НА ВСЁ! КРОМЕ УЛЬТЫ
---
УЛЬТА ЭТУ ЗАДЕРЖКУ САМА СОЗДАЁТ
20 сек. Р. - РОТАЦИЯ ФИШКИ В ТАБЛИЦЕ ДЛИТСЯ 20 СЕКУНД
---
ПЕРСОНАЖ ИЗ ШАБАША!</t>
      </text>
    </comment>
    <comment authorId="0" ref="G113">
      <text>
        <t xml:space="preserve">РОТАЦИЯ:
ЕШКА - ЕШКА - УЛЬТ - 5 УДАРОВ х2 - ЕШКА - УЛЬТ - 5 УДАРОВ</t>
      </text>
    </comment>
    <comment authorId="0" ref="Q113">
      <text>
        <t xml:space="preserve">ДАЁТ 14% ПРИБАВКИ В ЛУННЫЕ ЗАРЯЖЕННЫЕ. БАФФ ЗАВИСИТ ОТ СА ФЛИНСА. БАФФ СТАКАЕТСЯ С ДРУГИМИ ПОХОЖИМИ БАФФАМИ
ПИК БАФФА НА 2к СА</t>
      </text>
    </comment>
    <comment authorId="0" ref="T113">
      <text>
        <t xml:space="preserve">ДАЁТ 1 ЧАСТИЦУ КАЖДЫЕ 2 сек.
В СТОЙКЕ ЕШКИ
4 ЧАСТИЦЫ ЗА ЕШКУ</t>
      </text>
    </comment>
    <comment authorId="0" ref="U113">
      <text>
        <t xml:space="preserve">РОТАЦИЯ:
ЕШКА - ЕШКА - УЛЬТ - 5 УДАРОВ х2 - ЕШКА - УЛЬТ - 5 УДАРОВ
☘️☘️☘️
ЕШКА - 1 СС х2 (2 УДАРА)
---
15 УДАРОВ - 7 СС (СТАНДАРТНЫЙ ЛИМИТ)
---
УЛЬТА СТАТУСА НЕ ИМЕЕТ!
РОТАЦИЯ: 9 СС</t>
      </text>
    </comment>
    <comment authorId="0" ref="W113">
      <text>
        <t xml:space="preserve">ВО ВРЕМЯ СТОЙКИ ЕШКИ</t>
      </text>
    </comment>
    <comment authorId="0" ref="X113">
      <text>
        <t xml:space="preserve">МЕНЯЕТ РЕАКЦИЮ ЗАРЯЖЕН НА ЛУННЫЙ ЗАРЯД</t>
      </text>
    </comment>
    <comment authorId="0" ref="E114">
      <text>
        <t xml:space="preserve">РОТАЦИЯ:
ЕШКА х3</t>
      </text>
    </comment>
    <comment authorId="0" ref="G114">
      <text>
        <t xml:space="preserve">РОТАЦИЯ:
ЕШКА х3 - УЛЬТА - ЕШКА х3</t>
      </text>
    </comment>
    <comment authorId="0" ref="L114">
      <text>
        <t xml:space="preserve">ТУТ С РОТАЦИЕЙ ВСЁ СЛОЖНО!
ОНА ЗДЕСЬ ДЕЛАЕТ ЕШКУ В НАЧАЛЕ, ЗАТЕМ ЧЕРЕЗ ВРЕМЯ ВЫХОДИТ НАЖИМАЕТ УЛЬТ И ОБНОВЛЯЕТ ЕШКИ, ПАРАЛЛЕЛЬНО БЬЁТ УДАРАМИ И АКТИВИРУЕТ БУТОНЫ.
РОТАЦИЯ ЯЭ В ЦЕЛОМ ДЛИТСЯ 12-14 сек</t>
      </text>
    </comment>
    <comment authorId="0" ref="T114">
      <text>
        <t xml:space="preserve">КАЖДЫЙ ЗАЛП ЕШКИ МЫ ПОЛУЧАЕМ 1 ЧАСТИЦУ
ЗАЛПОВ ВСЕГО 5
УЛЬТА СТОИТ 90Е, А ЭТО ЗНАЧИТ, В ГЛАЗА ВЫ УЛЬТУ НЕ УВИДИТЕ)))</t>
      </text>
    </comment>
    <comment authorId="0" ref="U114">
      <text>
        <t xml:space="preserve">РОТАЦИЯ:
ЕШКА - УЛЬТА
☘️☘️☘️
ЕШКА  - 5 СС (ЛИМИТ ХОТЬ И СТАНДАРТНЫЙ, НО! ТОЛЬКО 1 ТОТЕМ МОЖЕТ АКТИВИРОВАТЬ РЕАКЦИЮ ЗА ЗАЛП... ИЗ-ЗА ЧЕГО СТАТУСА СУПЕР МАЛО!)
---
УЛЬТА - 4 СС (КАЖДЫЙ УДАР АКТИВИРУЕТ РЕАКЦИИ)
(ЧТО ПОСЛЕ ЕШКИ КАЖЕТСЯ МЕГА СТРАННО...)
РОТАЦИЯ: 9 СС
КОРОЧЕ СО СТАТУСОМ ВСЁ МЕГА ПЛОХО, КАК И С ЭНЕРГИЕЙ В ЦЕЛОМ...</t>
      </text>
    </comment>
    <comment authorId="0" ref="W114">
      <text>
        <t xml:space="preserve">ВО ВРЕМЯ КАСТА ЕШКИ</t>
      </text>
    </comment>
    <comment authorId="0" ref="X114">
      <text>
        <t xml:space="preserve">14 сек. Р. - РОТАЦИЯ В ДАННОЙ ТАБЛИЦЕ ДЛИЛАСЬ 14 сек.
И УЛЬТА НЕ НАЖИМАЛАСЬ!</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⛔️ПОЯСНЕНИЕ!⛔️
КАЖДЫЙ ПЕРСОНАЖ С СИГНОЙ И С ЛУЧШЕЙ СБОРКОЙ!
ВЭ ПРАВИЛЬНО РАССТАВЛЕНА, ЧТО БЫ НАЖИМАТЬ СТАБИЛЬНО УЛЬТУ
4⭐️ ПЕРСОНАЖИ С6
5⭐️ ПЕРСОНАЖИ С0
ДЛИТЕЛЬНОСТЬ РОТАЦИИ ЭТОГО ПЕРСОНАЖА ВЫ МОЖЕТЕ НАЙТИ В РАЗДЕЛЕ *ЭФФЕКТИВНОСТЬ*
</t>
      </text>
    </comment>
    <comment authorId="0" ref="C1">
      <text>
        <t xml:space="preserve">⛔️ПОЯСНЕНИЕ!⛔️
КАЖДЫЙ ПЕРСОНАЖ С СИГНОЙ И С ЛУЧШЕЙ СБОРКОЙ!
ВЭ ПРАВИЛЬНО РАССТАВЛЕНА, ЧТО БЫ НАЖИМАТЬ СТАБИЛЬНО УЛЬТУ
4⭐️ ПЕРСОНАЖИ С6
5⭐️ ПЕРСОНАЖИ С0
ДЛИТЕЛЬНОСТЬ РОТАЦИИ ЭТОГО ПЕРСОНАЖА ВЫ МОЖЕТЕ НАЙТИ В РАЗДЕЛЕ *ЭФФЕКТИВНОСТЬ*</t>
      </text>
    </comment>
    <comment authorId="0" ref="E1">
      <text>
        <t xml:space="preserve">⛔️ПОЯСНЕНИЕ!⛔️
КАЖДЫЙ ПЕРСОНАЖ С СИГНОЙ И С ЛУЧШЕЙ СБОРКОЙ!
ВЭ ПРАВИЛЬНО РАССТАВЛЕНА, ЧТО БЫ НАЖИМАТЬ СТАБИЛЬНО УЛЬТУ
4⭐️ ПЕРСОНАЖИ С6
5⭐️ ПЕРСОНАЖИ С0
ДЛИТЕЛЬНОСТЬ РОТАЦИИ ЭТОГО ПЕРСОНАЖА ВЫ МОЖЕТЕ НАЙТИ В РАЗДЕЛЕ *ЭФФЕКТИВНОСТЬ*</t>
      </text>
    </comment>
    <comment authorId="0" ref="G1">
      <text>
        <t xml:space="preserve">⛔️ПОЯСНЕНИЕ!⛔️
КАЖДЫЙ ПЕРСОНАЖ С СИГНОЙ И С ЛУЧШЕЙ СБОРКОЙ!
ВЭ ПРАВИЛЬНО РАССТАВЛЕНА, ЧТО БЫ НАЖИМАТЬ СТАБИЛЬНО УЛЬТУ
4⭐️ ПЕРСОНАЖИ С6
5⭐️ ПЕРСОНАЖИ С0
ДЛИТЕЛЬНОСТЬ РОТАЦИИ ЭТОГО ПЕРСОНАЖА ВЫ МОЖЕТЕ НАЙТИ В РАЗДЕЛЕ *ЭФФЕКТИВНОСТЬ*</t>
      </text>
    </comment>
    <comment authorId="0" ref="I1">
      <text>
        <t xml:space="preserve">⛔️ПОЯСНЕНИЕ!⛔️
РОТАЦИЯ КАЖДОГО ПЕРСОНАЖА НАХОДИТСЯ В РАЗДЕЛЕ *ЭФФЕКТИВНОСТЬ*
РОТАЦИЯ КАЖДОГО ПЕРСОНАЖА СУММИРУЕТСЯ, А ЗАТЕМ ДОБАВЛЯЕТСЯ +1 сек. НА СМЕНУ ПЕРСОНАЖЕЙ И ЧЕЛОВЕЧЕСКИЙ ФАКТОР!
ПОЭТОМУ ФОРМУЛА ПРОСТА:
СУММА + 1 сек. = РОТАЦИЯ</t>
      </text>
    </comment>
    <comment authorId="0" ref="K1">
      <text>
        <t xml:space="preserve">ДПС - УРОН В СЕКУНДУ
ИЗМЕРЯЕТСЯ В ТЫСЯЧАХ!
ТОЕСТЬ НАПРИМЕР 100к
ИЛИ 216,42к = 216400 ДПС</t>
      </text>
    </comment>
    <comment authorId="0" ref="L1">
      <text>
        <t xml:space="preserve">ДПМ - УРОН В МИНУТУ</t>
      </text>
    </comment>
    <comment authorId="0" ref="M1">
      <text>
        <t xml:space="preserve">ЭТОТ РЯДОК ВЛИЯЕТ НА КОНСТЫ ЛЕГ ПЕРСОВ. 
ЕСЛИ ТУТ С6, ЗНАЧИТ КАК МИНИМУМ ОДИН ЛЕГ ПЕРС С6. 
КТО ИМЕННО С6 ПОМЕЧАЕТСЯ В ОРАНЖЕВЫМ ЦВЕТОМ!</t>
      </text>
    </comment>
    <comment authorId="0" ref="I2">
      <text>
        <t xml:space="preserve">РОТАЦИЯ:
1.МАВУИКА: ЕШКА
2.БЕННЕТ: ЕШКА - УЛЬТ
3.ШИЛО: ЕШКА - 2 УДАРА
4.СИТЛАЛИ: ЕШКА - УЛЬТ
5.МАВУИКА: УЛЬТА - (4 УДАРОВ ЗАРЯЖЕННЫХ \ ФИНАЛ \ РЫВОК) х2
РОТАЦИЯ: 16,6 сек.</t>
      </text>
    </comment>
    <comment authorId="0" ref="I3">
      <text>
        <t xml:space="preserve">⛔️ОЧЕНЬ ВАЖНО!⛔️
ТУТ РОТАЦИЯ РАССЧИТАНА ТАК, ЧТО МЫ НАЧИНАЕМ СРАЗУ С ФУЛЛ ЭНЕРГИЕЙ. НАПРИМЕР В БЕЗДНЕ ИЛИ ПРОСТО ПОДГОТОВЛЕННЫМ В МИРЕ!
РОТАЦИЯ:
1.ФУРИНА: ЕШКА - УЛЬТ
2.СИТЛАЛИ: ЕШКА
3.ЭСКО: ЕШКА - УЛЬТ
4.СКИРК: УЛЬТ
5:СКИРК: ЕШКА - 5 УДАРОВ - ЗАРЯЖЕН - (5 УДАРОВ) х2
1я РОТАЦИЯ: 18 сек.
2я РОТАЦИЯ УЖЕ НЕ ИМЕЕТ СРАЗУ ЗАРЯЖЕННЫЙ УЛЬТ, ИЗ-ЗА ЧЕГО МЫ БУДЕТ ИГРАТЬ ПО КЛАССИКЕ!
1.ФУРИНА: ЕШКА - УЛЬТА
2.СИТЛАЛИ: ЕШКА
3.ЭСКО: ЕШКА - УЛЬТА
4.СКИРК: ЕШКА - УЛЬТ - (5 УДАРОВ) х4
2я РОТАЦИЯ: 19,4 сек</t>
      </text>
    </comment>
    <comment authorId="0" ref="J3">
      <text>
        <t xml:space="preserve">ЭТО ТОЛЬКО УРОН ПЕРВОЙ РОТАЦИИ!!
2я РОТАЦИЯ: 
СКИРК: 2,592кк
СИТЛАЛИ: 2к 
ЭСКОФЬЕ: 890к 
ФУРИНА: 441к
РОТАЦИЯ: 3,925кк за 20,4 сек.
</t>
      </text>
    </comment>
    <comment authorId="0" ref="K3">
      <text>
        <t xml:space="preserve">1я РОТАЦИЯ: 214,47к
2я РОТАЦИЯ: 192,40к</t>
      </text>
    </comment>
    <comment authorId="0" ref="A4">
      <text>
        <t xml:space="preserve">ИТТО ТУТ С6 ПОТОМУ ЧТО Я ТАК ХОЧУ!
А НУ И Я ЕМУ ЗАБАЛНСИЛ КМ ЧУТЬ ЛУЧШЕ. НО ЭТО ВСЁ ТЕ ЖЕ 220 КМ!</t>
      </text>
    </comment>
    <comment authorId="0" ref="I4">
      <text>
        <t xml:space="preserve">РОТАЦИЯ:
1.ДУРИН : ЕШКА - ЕШКА - УЛЬТ
2.ГОРО : УЛЬТ
3.АЛЬБЕДО : ЕШКА - 2 УДАРА
4.ГОРО : ЕШКА
4.ИТТО : УЛЬТА - ЕШКА - 14 ЗАРЯЖЕН - 2 УДАРА - 3 ЗАРЯЖЕН - ЕШКА
ДЛИТЕЛЬНОСТЬ: 20,1</t>
      </text>
    </comment>
    <comment authorId="0" ref="A5">
      <text>
        <t xml:space="preserve">В ЭТИХ ПОДСЧЁТАХ У НЕФЕР НЕМНОГО ДРУГОЙ СТАНДАРТ КМ.
ТО ЕСТЬ ОН ТОЖЕ 220 КМ.
НО ПРИ ЭТОМ ТАМ ЧУТЬ ВЫШЕ ШК И ЧУТЬ НИЖЕ КУ</t>
      </text>
    </comment>
    <comment authorId="0" ref="C5">
      <text>
        <t xml:space="preserve">В ПРИМЕРЕ У АСПИРИНА НЕТ ПОРЕЗКИ ЛАУМЫ С ЕШКИ. ПОЭТОМУ ТАМ УРОН ЧУТЬ НИЖЕ...</t>
      </text>
    </comment>
    <comment authorId="0" ref="I5">
      <text>
        <t xml:space="preserve">РОТАЦИЯ:
НАХИДА: ЕШКА - УЛЬТА
АЙНО: ЕШКА - УЛЬТ
ЛАУМА: ДОЛГАЯ ЕШКА - УЛЬТА
НЕФЕР: ЕШКА - ЗАРЯЖЕН х3 - ЕШКА - ЗАРЯЖЕН х3
РОТАЦИЯ:  20,3 сек.
НА НЕКСТ РОТАЦИЮ АЙНО БУДЕТ ПОСЛЕ ЛАУМЫ ВЫХОДИТ. ЧТО БЫ СТАТУСА ХВАТИЛО НЕФЕР!
ВРЕМЯ РОТАЦИИ НЕ МЕНЯЕТСЯ!</t>
      </text>
    </comment>
    <comment authorId="0" ref="J5">
      <text>
        <t xml:space="preserve">Я БАЛАНС АРТОВ ПОМЕНЯЛ РАДИ ЕЁ. ТАК-ТО ЕСЛИ БРАТЬ ПРЯМ ОДИНАКОВЫЙ СТАНДАРТ БАЛАНС. ТО ТУТ ДАЖЕ НЕ ПАХНЕТ 3 МЕСТОМ...</t>
      </text>
    </comment>
    <comment authorId="0" ref="A6">
      <text>
        <t xml:space="preserve">ПРОБЛЕМА СОСТАВЛЕНИЯ РОТАЦИИ НА МУАЛАНИ, ЗАКЛЮЧАЕТСЯ В УЛЬТРА БЫСТРЫХ БАФФАХ, КОТОРЫЕ НЕВОЗМОЖНО УДЕРЖАТЬ ДОЛГО. ИЗ-ЗА ЧЕГО ПРИХОДИТСЯ ОЧЕНЬ СИЛЬНО ИЗВОРАЧИВАТЬСЯ И ТО НЕ ФАКТ ЧТО ПОЛУЧИТСЯ... ПО ЭТОЙ ПРИЧИНЕ Я РЕШИЛ КОНЕЧНО НАЙТИ ЗОЛОТУЮ СЕРЕДИНУ В РОТАЦИИ, НО КАЛЬКУЛЯТОР РЕШИЛ СОЙТИ С УМА ВМЕСТЕ СО МНОЙ.
КОРОЧЕ КАЛЬКУЛЯТОР НЕ ВЫВОЗИТ РОТАЦИИ З САХАРОМ, ПОЭТОМУ Я РЕШИЛ ПОСТАВИТЬ ЛАНЬ ЯНЬ, КОТОРАЯ НА САМОМ ДЕЛЕ НЕ СИЛЬНО ХУЖЕ В ДПМ, ХОТЯ ЕСЛИ РАССЧИТЫВАТЬ НА СОЛО РОТАЦИЮ, ТО ДА КОНЕЧНО САХАРОК ЛУЧШЕ! НО С СИГНОЙ СИТЛАЛИ ПРОСБЛЕМ НЕТ С УРОНОМ</t>
      </text>
    </comment>
    <comment authorId="0" ref="I6">
      <text>
        <t xml:space="preserve">РОТАЦИЯ:
1.МУАЛАНИ: УДАР
2.ЛАНЬКА: ЕШКА
3.ШИЛО: ЕШКА - 2 УДАРА
5.МАВУИКА: УЛЬТА - УДАР - ДЭШ
6.МУАЛАНИ: УЛЬТ - УДАР
7.ШИЛО: ЕШКА - 2 УДАР
8.ЛАНЬКА: ЕШКА - УЛЬТА
9.МАВУИКА: ЕШКА
10.МУАЛАНИ: ЕШКА - 3 УДАРА
ШИЛО : 2,6 сек
ЛАНЬКА: 3,1 сек
МАВУКА: 2,9 сек
МУАЛАНИ: 14,1 сек
РОТАЦИЯ: 22,7 сек
ОЧЕНЬ ВАЖНО НАЖИМАТЬ ИМЕННО В ТАКОМ ПОРЯДКЕ СКИЛЛЫ КАК НАПИСАЛ, ИНАЧЕ СИСТЕМА ПОРУШИТСЯ В НОЛЬ!!</t>
      </text>
    </comment>
    <comment authorId="0" ref="J6">
      <text>
        <t xml:space="preserve">БОЛЕЕ СТАБИЛЬНОЙ И ПРОСТОЙ РОТАЦИИ НА МУАЛАНИ НЕ ПРИДУМАЕШЬ...
ВСЁ ОСТАЛЬНОЕ КРИНЖ ДЛЯ РЕКОРДОВ НА 1 УДАР ИЛИ 1 РОТАЦИЮ!!!</t>
      </text>
    </comment>
    <comment authorId="0" ref="I7">
      <text>
        <t xml:space="preserve">РОТАЦИЯ:
ИНЕФФА: УЛЬТА - ЕШКА
Е ЛАНЬ: ЕШКА - УЛЬТА - 2 УДАРА
САХАРОЗА: ЕШКА
ФЛИНС: ЕШКА - ЕШКА - УЛЬТ - 3 УДАРА\ЗАРЯЖ х2 - ЕШКА УЛЬТА - 3 УДАРА\ЗАРЯЖ
РОТАЦИЯ: 17,8</t>
      </text>
    </comment>
    <comment authorId="0" ref="I8">
      <text>
        <t xml:space="preserve">РОТАЦИЯ:
1.МАВУИКА : ЕШКА
2.БЕННЕТ : ЕШКА - УЛЬТ
3.СИТЛАЛИ : ЕШКА УЛЬТ
4.МАВУИКА : УЛЬТ - ДЭШ
5.ЧАСКА :  ЕШКА - 4 ЗАРЯЖ. - УЛЬТ
РОТАЦИЯ:  20,4 сек.
ВАЖНО ПОНИМАТЬ! ЧТО ЧАСКА НЕ ВСЕГДА МОЖЕТ НАЖАТЬ УЛЬТ ПО КД! ЧТО ОЧЕНЬ ВАЖНО ДЛЯ НАШЕГО УРОНА РОТАЦИИ. ПОЭТОМУ УРОН МОЖЕТ БЫТЬ ЧУТЬ МЕНЬШЕ. ПРИМЕР В ССЫЛКЕ НА ДПС</t>
      </text>
    </comment>
    <comment authorId="0" ref="A9">
      <text>
        <t xml:space="preserve">НАША ПЕРВАЯ РОТАЦИЯ НАЧИНАЕТСЯ ИЗ ЕШКИ, ИЗ-ЗА ЧЕГО РОТАЦИЯ ДОЛЬШЕ ДЛИТСЯ.
ДАЛЬШЕ НАМ НЕ НАДО НАЖИМАТЬ ЕШКУ, ВЕДЬ ТЕПЕРЬ РОТАЦИЯ И ЗАКАНЧИВАЕТСЯ НА КАМИНЕ</t>
      </text>
    </comment>
    <comment authorId="0" ref="I9">
      <text>
        <t xml:space="preserve">РОТАЦИЯ:
1.КАМИН: ЕШКА
2.ЦАПЛЯ: ЕШКА - УЛЬТ
3.БЕННЕТ: ЕШКА - УЛЬТ
4.СИТЛАЛИ: ЕШКА - УЛЬТ
5.КАМИН: УЛЬТ - ЕШКА 6 РАЗ
РОТАЦИЯ: 22,1 сек.
СЛЕД РОТАЦИИ НЕ ТРЕБУЮТ НАЖИМАТЬ ЕШКУ В НАЧАЛЕ РОТАЦИИ. ХОТЯ РАЗНОЕ БЫВАЕТ. ИНОГДА СТАТУС СИТЛАЛИ ОСТАЁТСЯ ПОСЛЕ 6 ПРЫЖКА, ПОЭТОМУ ПРОСТО ДОБАВЬТЕ ЕЩЁ ОДИН ПРЫЖОК И БУДЕТ ТОП!
ПОЭТОМУ СЛЕД. РОТАЦИИ БУДУТ НА 1,6 сек. БЫСТРЕЕ. ИЗ-ЗА ТОГО, ЧТО НЕТ ЛИШНИХ ЕШОК В НАЧАЛЕ. НО ДАМАГ БУДЕТ НЕМНОГО НИЖЕ:
2,873кк У КАМЫ</t>
      </text>
    </comment>
    <comment authorId="0" ref="K9">
      <text>
        <t xml:space="preserve">1я РОТАЦИЯ: 138,10к
2я-3я РОТАЦИЯ: 148,37к</t>
      </text>
    </comment>
    <comment authorId="0" ref="A10">
      <text>
        <t xml:space="preserve">ИЗ-ЗА ДОЛГА ЖИЗНИ, У НАС 2я РОТАЦИЯ БУДЕТ 2,099кк
УЛЬТУ НЕ НАЖИМАЕМ!</t>
      </text>
    </comment>
    <comment authorId="0" ref="E10">
      <text>
        <t xml:space="preserve">НА СЛЕД РОТАЦИЯ СВИТКИ НА ВЕСЬ УРОНА. ПОЭТОМУ 545к УРОНА С 2й РОТАЦИИ</t>
      </text>
    </comment>
    <comment authorId="0" ref="I10">
      <text>
        <t xml:space="preserve">РОТАЦИЯ:
1.АРЛЕКИНО: ЕШКА
2.ЭСКО: ЕШКА - УЛЬТ
3.БЕННЕТ: ЕШК - УЛЬТ
4.СИТЛАЛИ: ЕШКА - УЛЬТ
5.АРЛЕКИНО: ЗАРЯЖЕННАЯ - (3 УДАРА \ РЫВОК ) х5
РОТАЦИЯ: 18,7 сек.
</t>
      </text>
    </comment>
    <comment authorId="0" ref="J10">
      <text>
        <t xml:space="preserve">1я РОТАЦИЯ: 2,551кк
2я-3я РОТАЦИЯ: 2,923кк</t>
      </text>
    </comment>
    <comment authorId="0" ref="K10">
      <text>
        <t xml:space="preserve">1я РОТАЦИЯ: 129,49к
2я-3я РОТАЦИЯ: 148,36к</t>
      </text>
    </comment>
    <comment authorId="0" ref="I11">
      <text>
        <t xml:space="preserve">РОТАЦИЯ:
1.НЁВИК: ЕШКА
2.ФУРИНА: ЕШКА - УЛЬТА
3.СИТЛАЛИ: ЕШКА
4.ЭСКО: ЕШКА - УЛЬТА
5.НЁВИК: ЗАРЯЖЕН - УЛЬТ -  ЗАРЯЖЕН х2
РОТАЦИЯ: 22,5 сек.</t>
      </text>
    </comment>
    <comment authorId="0" ref="I12">
      <text>
        <t xml:space="preserve">РОТАЦИЯ:
1.МАВУИКА : ЕШКА
2.ИАНСАН : ЕШКА - УЛЬТ
3.ШЕВРЁЗ : ДОЛГАЯ ЕШКА
4.МАВУИКА: УЛЬТ - ДЭШ
5.ВАРЕСА : (ЕШКА \ ПРЫЖОК) х2 - БЫСТРАЯ УЛЬТА - (ЕШКА \ ПРЫЖОК) х2 - БЫСТРАЯ УЛЬТА
РОТАЦИЯ: 17 сек.</t>
      </text>
    </comment>
    <comment authorId="0" ref="A13">
      <text>
        <t xml:space="preserve">СУТЬ ЭТОЙ РОТАЦИИ НА АРЛЕКИНО В ТОМ, ЧТО У НЁЁ РАСТЁТ ДОЛГ ЖИЗНИ НА  СЛЕД. РОТАЦИЮ, ИЗ-ЗА ЧЕГО ОНА ПОСТЕПЕННО НАБИРАЕТ ОБОРОТЫ!
ЕСЛИ ВЫ БУДЕТЕ НАЖИМАТЬ УЛЬТ! ТО РОТАЦИЯ НАЧНЁТ СИЛЬНО ТЕРЯТЬ УРОН...</t>
      </text>
    </comment>
    <comment authorId="0" ref="G13">
      <text>
        <t xml:space="preserve">НА СЛЕД. РОТАЦИЮ ОНА ЛОВИТ БАФФЫ ШЕВРЁЗ И УРОН УЖЕ 567к</t>
      </text>
    </comment>
    <comment authorId="0" ref="I13">
      <text>
        <t xml:space="preserve">РОТАЦИЯ:
1.АРЛЕКИНО: ЕШКА
2.БЕННЕТ: ЕШКА - УЛЬТА
3.ФИШКА: УЛЬТА
4.ШЕВРЁЗ: ДОЛГАЯ ЕШКА
5.АРЛЕКИНО: ЗАРЯЖЕННАЯ - (4 УДАРА \ РЫВОК ) х3
РОТАЦИЯ: 14,6 сек</t>
      </text>
    </comment>
    <comment authorId="0" ref="J13">
      <text>
        <t xml:space="preserve">2я, 3я и 4я РОТАЦИЯ НА АРЛЕКИНО ИМЕЕТ УРОН В 1,557к 
И ФИШКА 567к
ИЗ-ЗА ЧЕГО СУММА УРОНА ВЫРАСТЕТ НА 2,213к</t>
      </text>
    </comment>
    <comment authorId="0" ref="K13">
      <text>
        <t xml:space="preserve">ПЕРВАЯ РОТАЦИЯ = 120,19к
2-4я РОТАЦИЯ = 141,86к
</t>
      </text>
    </comment>
    <comment authorId="0" ref="I14">
      <text>
        <t xml:space="preserve">РОТАЦИЯ:
1.НЁВИК: ЕШКА
2.ФУРИНА: ЕШКА
3.ШИЛО: ЕШКА - 1 УДАР - УЛЬТА - 1 УДАР
4.МАВУКА: УЛЬТ - ЕШКА - ДЭШ
5.ФУРИНА: УЛЬТА
6.НЁВИК: ЗАРЯЖЕН - ЕШКА - УЛЬТ - ЗАРЯЖЕН
7.ШИЛО: ЕШКА - 2 УДАРА
8.НЁВИК: ЗАРЯЖЕН 
РОТАЦИЯ: 26,5 сек</t>
      </text>
    </comment>
    <comment authorId="0" ref="L14">
      <text>
        <t xml:space="preserve">УЧИТЫВАЯ ЧТО ЭТО БЕЗ С1, ТО ШАНС ПОЛУЧИТЬ ТАКОЙ ДПМ ПОЧТИ НУЛЕВОЙ...
ПОТОМУ ЧТО НАС БУДУТ ПРЕРЫВАТЬ ПО КД
ПОЭТОМУ С1 МАСТ ХЭВ!
НЁВИК 2,276кк
ДПС = 141,27к = 8476кк</t>
      </text>
    </comment>
    <comment authorId="0" ref="I15">
      <text>
        <t xml:space="preserve">РОТАЦИЯ:
1.ЭМИЛИЯ: ЕШКА
2.ИАНСАН: ЕШКА - УЛЬТ
3.МАВУКА: УЛЬТА - ЕШКА - УДАР - ДЭШ
4.КИНИЧ: ЕШКА - УЛЬТА - (2 УДАРА - ПУШКА) х4
РОТАЦИЯ: 19 сек.
2я РОТАЦИЯ:
ТАКАЯ ЖЕ, ТОЛЬКО ЭМИЛИЯ НАЖИМАЕТ УЛЬТ
РОТАЦИЯ: 20,1 сек.</t>
      </text>
    </comment>
    <comment authorId="0" ref="J15">
      <text>
        <t xml:space="preserve">НА СЛЕД. РОТАЦИЯ ЭМИЛИЯ НАЖИМАЕТ УЛЬТ ВМЕСТО ЕШКИ, ИЗ-ЗА ЧЕГО ЕЁ УРОН РАСТЁТ ДО 554к.
РОТАЦИЯ ПОЛУЧАЕТСЯ: 2,636кк за 20,1 сек</t>
      </text>
    </comment>
    <comment authorId="0" ref="K15">
      <text>
        <t xml:space="preserve">1я РОТАЦИЯ: 125,50к
2я РОТАЦИЯ: 124,93к</t>
      </text>
    </comment>
    <comment authorId="0" ref="I16">
      <text>
        <t xml:space="preserve">РОТАЦИЯ:
1.ФУРИНА: ЕШКА - УЛЬТА
2.ИАНСАН: ЕШКА - УДАР - УЛЬТА
3.ЦАПЛЯ: УДАР - ЕШКА - УЛЬТА
4.ВАРЕСА: (ЕШКА \ ПРЫЖОК) х2 - БЫСТРАЯ УЛЬТА - (ЕШКА \ ПРЫЖОК) х2 - БЫСТРАЯ УЛЬТА
РОТАЦИЯ: 18 сек.</t>
      </text>
    </comment>
    <comment authorId="0" ref="I17">
      <text>
        <t xml:space="preserve">РОТАЦИЯ:
1.ИНЕФФА : ЕШКА - УЛЬТ
2.АЛЬБЕДО : 2 УДАРА - ЕШКА
3.Е ЛАНЬ : ЕШКА - УЛЬТ
4.ВЕНТИ : ЕШКА - УЛЬТ - 6 УДАРОВ х 4 - ЕШКА
ДЛИТЕЛЬНОСТЬ: 18,8</t>
      </text>
    </comment>
    <comment authorId="0" ref="I18">
      <text>
        <t xml:space="preserve">РОТАЦИЯ:
1.ЦАПЛЯ: ЕШКА - УЛЬТ
2.БЕННЕТ : ЕШКА - УЛЬТ
3.ЦАПЛЯ : УДАР
4.СИТЛАЛИ: ЕШКА - УЛЬТ
5.СЯО: ЕШКА - ЕШКА - 
ПРЫЖОК  х6
РОТАЦИЯ: 18,6 сек</t>
      </text>
    </comment>
    <comment authorId="0" ref="I19">
      <text>
        <t xml:space="preserve">РОТАЦИЯ:
1.ФУРИНА: ЕШКА - УЛЬТ
2.СИТЛАЛИ: ЕШКА
3.ЭСКО: УЛЬТ - ЕШКА
4.АЯКА: ДЭШ - УЛЬТ - ЕШКА - 4 УДАРА - ЗАРЯЖЕННАЯ - РЫВОК - (4 УДАРА - ЗАРЯЖЕННАЯ) х2
РОТАЦИЯ: 19 сек.</t>
      </text>
    </comment>
    <comment authorId="0" ref="I20">
      <text>
        <t xml:space="preserve">РОТАЦИЯ:
1.ЦАПЛЯ: ЕШКА - УЛЬТ
2.БЕННЕТ : ЕШКА - УЛЬТ
3.ЦАПЛЯ : УДАР
4.СИТЛАЛИ: ЕШКА - УЛЬТ
5.ФРЕМИНЕ: ЕШКА - ПРЫЖОК х2 - ЕШКА - ПРЫЖОК х4
РОТАЦИЯ: 19,2 сек</t>
      </text>
    </comment>
    <comment authorId="0" ref="A21">
      <text>
        <t xml:space="preserve">УЛЬТ ТУТ НАЖИМАТЬ НЕМНОГО НЕ ЭФФЕКТИВНО! НО МОЖНО! Я НЕ ОСУЖДАЮ...</t>
      </text>
    </comment>
    <comment authorId="0" ref="I21">
      <text>
        <t xml:space="preserve">РОТАЦИЯ:
1.ФУРИНА: ЕШКА - УЛЬТ
2.СИТЛАЛИ: ЕШКА
3.ЭСКО: УЛЬТ - ЕШКА
4.РИЗЛИ: ЕШКА - (3 УДАРА \ ЗАРЯЖЕННАЯ) х5 - УЛЬТА
РОТАЦИЯ: 16,4</t>
      </text>
    </comment>
    <comment authorId="0" ref="J21">
      <text>
        <t xml:space="preserve">ЭСКОФЬЕ НА СЛЕД РОТАЦИИ НАНЕСЁТ 755к
ИЗ-ЗА ЧЕГО РОТАЦИЯ БУДЕТ 2,054кк
1я РОТАЦИЯ: 105,86к
2я РОТАЦИЯ: 118,05к</t>
      </text>
    </comment>
    <comment authorId="0" ref="I22">
      <text>
        <t xml:space="preserve">РОТАЦИЯ:
1.ЦАПЛЯ: ЕШКА - УЛЬТ
2.БЕННЕТ : ЕШКА - УЛЬТ
3.ЦАПЛЯ : УДАР
4.СИТЛАЛИ: ЕШКА - УЛЬТ
5.ХУ ТАО: ЕШКА - 
ПРЫЖОК  х6
РОТАЦИЯ: 17,7 сек.
</t>
      </text>
    </comment>
    <comment authorId="0" ref="I23">
      <text>
        <t xml:space="preserve">РОТАЦИЯ:
1.ФУРИНА : ЕШКА
2.ШИЛО : ЕШКА - УЛЬТ - 2 УДАРА
3.ФУРИНА : УЛЬТ
4.НАВИЯ : УЛЬТ
5.Е ЛАНЬ : ЕШКА - УЛЬТ - УДАР
6.ШИЛО : ЕШКА - 2 УДАРА
7.НАВИЯ : (ЕШКА - 3 УДАРА - РЫВОК - 2 УДАРА) х2
РОТАЦИЯ: 22,6 сек.</t>
      </text>
    </comment>
    <comment authorId="0" ref="C24">
      <text>
        <t xml:space="preserve">СЛЕД. РОТАЦИЯ ПОД БАФФАМИ ШЕВРЁЗ 265к</t>
      </text>
    </comment>
    <comment authorId="0" ref="I24">
      <text>
        <t xml:space="preserve">РОТАЦИЯ:
1.МАВУИКА: ЕШКА
2ОРОРОН: ЕШКА - УЛЬТ
3.ШЕВРЁЗ: ДОЛГАЯ ЕШКА
4.МАВУИКА: УЛЬТ - РЫВОК
5.КЛОРИНДА: УЛЬТ - ЕШКА - ЕШКА - (3 УДАРА - ЕШКА)Х5
РОТАЦИЯ: 19 сек.</t>
      </text>
    </comment>
    <comment authorId="0" ref="J24">
      <text>
        <t xml:space="preserve">1я РОТАЦИЯ: 100,25к
2я РОТАЦИЯ: 103,1к</t>
      </text>
    </comment>
    <comment authorId="0" ref="E25">
      <text>
        <t xml:space="preserve">ТАК ЖЕ СИТУАЦИЯ ЧТО И В ИНЕФФИ! 2я РОТАЦИЯ ПОД БАФФАМИ, ИЗ-ЗА ЧЕГО МЫ ПОЛУЧАЕМ 500к УРОНА</t>
      </text>
    </comment>
    <comment authorId="0" ref="G25">
      <text>
        <t xml:space="preserve">ПЕРВАЯ РОТАЦИЯ НАЧИНАЕТСЯ БЕЗ ФУЛЛ БАФФОВ. НО НА 2ю РОТАЦИЮ У НАС ВСЁ МЕГА ТОП!
ВЕДЬ ТЕПЕРЬ ВСЕ БАФФЫ АКТИВНЫ, А ЭТО ЗНАЧИТ, ЧТО И ЛУННАЯ БУДЕТ РАБОТАТЬ ЧУТЬ ЛУЧШЕ! ВОТ!
2я РОТАЦИЯ: 923к</t>
      </text>
    </comment>
    <comment authorId="0" ref="I25">
      <text>
        <t xml:space="preserve">РОТАЦИЯ:
1.ИНЕФФА : ЕШКА - УЛЬТА
2.Е ЛАНЬ : ЕШКА - УЛЬТА - УДАР
3.ШИЛОНЕН: ЕШКА - 2 УДАРА
4.КЛОРИНДА : ЕШКА - ЕШКА - (3 УДАРА - ЕШКА)Х5
5.ШИЛО : ЕШКА - 2 УДАРА
6.КЛОРИНДА : УЛЬТ
ДЛИТЕЛЬНОСТЬ: 22 сек.</t>
      </text>
    </comment>
    <comment authorId="0" ref="J25">
      <text>
        <t xml:space="preserve">1я РОТАЦИЯ: 2,150кк
2я-3я РОТАЦИЯ: 2,329кк</t>
      </text>
    </comment>
    <comment authorId="0" ref="K25">
      <text>
        <t xml:space="preserve">1я РОТАЦИЯ: 93,48к
2я-3я РОТАЦИЯ: 101,26к</t>
      </text>
    </comment>
    <comment authorId="0" ref="C26">
      <text>
        <t xml:space="preserve">2я. РОТАЦЯ ПОД ТЕНЬЮ: 190к</t>
      </text>
    </comment>
    <comment authorId="0" ref="E26">
      <text>
        <t xml:space="preserve">2я РОТАЦИЯ ПОД ТЕНЬЮ:
1,025кк</t>
      </text>
    </comment>
    <comment authorId="0" ref="G26">
      <text>
        <t xml:space="preserve">2я РОТАЦИЯ ПОД ТЕНЬЮ:
468к</t>
      </text>
    </comment>
    <comment authorId="0" ref="I26">
      <text>
        <t xml:space="preserve">РОТАЦИЯ:
1.ИНЕФФА : ЕШКА - УЛЬТА
2.Е ЛАНЬ : ЕШКА - УЛЬТА - УДАР
3.ОРОРОН : ЕШКА - УЛЬТА
4.ИФА : УЛЬТА - ЕШКА - 13 УДАРОВ - ПРЫЖОК
РОТАЦИЯ: 19,9 сек.</t>
      </text>
    </comment>
    <comment authorId="0" ref="K26">
      <text>
        <t xml:space="preserve">1я РОТАЦИЯ: 93,64к
2я РОТАЦИЯ: 100,67к</t>
      </text>
    </comment>
    <comment authorId="0" ref="A27">
      <text>
        <t xml:space="preserve">1я РОТАЦИЯ: 1,366к
2я РОТАЦИЯ, КОГДА МЫ НАБИРАЕМ 5 СТАКОВ: 1,422к</t>
      </text>
    </comment>
    <comment authorId="0" ref="I27">
      <text>
        <t xml:space="preserve">РОТАЦИЯ:
1.ЯЭ МИКО: ЕШКА х3
1.БЕННЕТ: ЕШКА - УЛЬТА
3.ШЕВРА: ДОЛГАЯ ЕШКА
4.ЛИНИ: 3 ЗАРЯЖЕННЫЕ - ЕШКА - УЛЬТА - ЗАРЯЖЕН
РОТАЦИЯ: 18,1 сек.</t>
      </text>
    </comment>
    <comment authorId="0" ref="J27">
      <text>
        <t xml:space="preserve">НА ВТОРУЮ РОТАЦИЮ ЛИНИ ДАЁТ БОЛЬШЕ УРОНА, ВЕДЬ СТАКОВ ОТ ЕШКИ СТАНЕТ 5!
1,824кк СЛЕД. РОТАЦИЯ ВСЕ</t>
      </text>
    </comment>
    <comment authorId="0" ref="K27">
      <text>
        <t xml:space="preserve">1я РОТАЦИЯ: 95,40к
2-3я РОТАЦИЯ: 98,42к</t>
      </text>
    </comment>
    <comment authorId="0" ref="L27">
      <text>
        <t xml:space="preserve">ПРОБЛЕМА ПОХОЖАЯ НА НЕВИКА. НА ДЕЛЕ ТАКОЙ ДПМ ПОЛУЧИТЬ ПОЧТИ НЕВОЗМОЖНО!
ПОТОМУ ЧТО БЕЗ ЩИТА НАС БУДУТ КАК ТРЯПКУ РВАТЬ.
НО ТУТ В ОТЛИЧИИ ОТ НЕВИКА НЕТ С1, ПОЭТОМУ НАЗВАТЬ ЭТО ЛУЧШЕЙ ПАЧКИ ЛИНИ НЕВОЗМОЖНО! ХОТЯ ДА, ДПМ ТУТ ГОДНЫЙ!</t>
      </text>
    </comment>
    <comment authorId="0" ref="I28">
      <text>
        <t xml:space="preserve">РОТАЦИЯ:
1.НАХИДА: ЕШКА - УЛЬТ
2.ФУРИНА : ЕШКА - УЛЬТ
3.СИНОБУ : ЕШКА - УЛЬТ
4.ХАЙТАМ : ЕШКА - ПАДЕНИЕ - (3 УДАРА \ РЫВОК) х4 - УЛЬТА
РОТАЦИЯ: 18,7 сек.</t>
      </text>
    </comment>
    <comment authorId="0" ref="I29">
      <text>
        <t xml:space="preserve">РОТАЦИЯ:
1.ЛИНИ : ЗАРЯЖЕН.
2.ШИЛО : ЕШКА - 2 УДАРА
3.БЕННЕТ : ЕШКА - УЛЬТ
4.СИТЛАЛИ : ЕШКА - УЛЬТ
5.ЛИНИ : 3 ЗАРЯЖЕННЫЕ - ЕШКА - УЛЬТА
РОТАЦИЯ: 19,5 сек.
ЗАТЕМ ВЫ ПРОСТО ЗАНЧИВАЕТЕ РОТАЦИЮ ЛИНИ ДЕЛАЯ ЗАРЯЖЕННУЮ!
НУ И ПО ФАКТУ ЭТО БУДЕТ НАЧАЛО СЛЕД. РОТАЦИИ!</t>
      </text>
    </comment>
    <comment authorId="0" ref="J29">
      <text>
        <t xml:space="preserve">ЭТО ПЕРВАЯ РОТАЦИЯ!
НА ВТОРУЮ РОТАЦИЮ, У НАС БОЛЬШЕ УРОНА ИЗ-ЗА БАФФ ПОД 4 ЗАРЯЖЕННУЮ!
2я РОТАЦИЯ: 1,901кк</t>
      </text>
    </comment>
    <comment authorId="0" ref="K29">
      <text>
        <t xml:space="preserve">1я РОТАЦИЯ: 91,32к
2я РОТАЦИЯ: 92,73к</t>
      </text>
    </comment>
    <comment authorId="0" ref="I30">
      <text>
        <t xml:space="preserve">1. ЯЭ МИКО: ЕШКА х3
2. САХАРОЗА: ЕШКА - УЛЬТА
3. ФИШЛЬ: ЕШКА
4. ТИГНАРИ: ЕШКА - УЛЬТ - ЗАРЯЖЕН. х3
5. САХАРОЗА: ЕШКА
6. ЯЭ МИКО: УЛЬТ - ЕШКА х3
7. ФИШЛЬ: УЛЬТ
8. ТИГНАРИ: ЕШКА - ЗАРЯЖЕН. х3
РОТАЦИЯ: 23,1 сек.</t>
      </text>
    </comment>
    <comment authorId="0" ref="I31">
      <text>
        <t xml:space="preserve">РОТАЦИЯ:
1.ИТТО : ЕШКА
2.ЧЖУН : ДОЛГАЯ ЕШКА
3.ГОРО: ЕШКА - 2 УДАРА
4.ТИОРИ : ЕШКА х2
5.ГОРО : УЛЬТ - 1 УДАР
4.ИТТО : УЛЬТ - 2 УДАРА -  ЕШКА - ЗАРЯЖЕННАЯ 5 УДАРОВ - 2 УДАРА - ЗАРЯЖЕННАЯ 5
РОТАЦИЯ: 19</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6">
      <text>
        <t xml:space="preserve">ПИРО ГГ🔥</t>
      </text>
    </comment>
    <comment authorId="0" ref="A88">
      <text>
        <t xml:space="preserve">ДЕНДРО ГГ☘️</t>
      </text>
    </comment>
    <comment authorId="0" ref="A93">
      <text>
        <t xml:space="preserve">ГЕО ГГ💎
</t>
      </text>
    </comment>
    <comment authorId="0" ref="A99">
      <text>
        <t xml:space="preserve">АНЕМО ГГ💨
</t>
      </text>
    </comment>
    <comment authorId="0" ref="A101">
      <text>
        <t xml:space="preserve">ЭЛЕКТРО ГГ⚡️</t>
      </text>
    </comment>
    <comment authorId="0" ref="A105">
      <text>
        <t xml:space="preserve">ГИДРО ГГ💧</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⛔️УТОЧНЕНИЕ!⛔️
ТУТ ЕСТЬ ГРАФА *ПРИМЕР* 
ОНА ЕСТЬ ТОЛЬКО У С6 5⭐️ ПЕРСОВ.
ВЕДЬ 4⭐️ И ТАК С6 В РАЗДЕЛЕ "ЭФФЕКИВНОСТЬ"
ЭТОТ *ПРИМЕР* НУЖЕН ЧТО БЫ ЛЮДИ СМОГЛИ ПОСМОТРЕТЬ КАК В КАЛЬКУЛЯТОРЕ СЕБЯ ПОКАЗЫВАЕТ С6
⛔️ДЛЯ ЗНАЮЩИХ!⛔️
СРАВНЕНИЕ НЕ СОХРАНЯЕТСЯ ЧЕРЕЗ ССЫЛКУ,
К СОЖАЛЕНИЮ. ПОЭТОМУ НАГЛЯДО ТАМ ПРОЦЕНТЫ НЕ ГЛЯНЕШЬ...</t>
      </text>
    </comment>
    <comment authorId="0" ref="B1">
      <text>
        <t xml:space="preserve">⛔️ПОЯСНЕНИЕ!⛔️
📍 - КЛЮЧЕВАЯ КОНСТА
🔶 - ОЧЕНЬ ПОЛЕЗНАЯ КОНСТА
💊 - КОНСТА МЕНЯЕТ ГЕЙМПЛЕЙ
👑 - ЛУЧШЫЕ КОНСТЫ ИГРЫ!</t>
      </text>
    </comment>
    <comment authorId="0" ref="C1">
      <text>
        <t xml:space="preserve">⛔️ПОЯСНЕНИЕ!⛔️
ВЛИЯНИЕ СОЗВЕЗДИЙ НА УРОН ПЕРСОНАЖА
ЭТО ПРИБАВКА К НАШЕМУ УРОНУ НА С0. ПРОЦЕНТ СРЕДНИЙ, ПОЭТОМУ МОЖЕТ НЕМНОГО НЕ СОВПАДАТЬ С ВАШЕЙ ПАЧКЕЙ!
УРОН ПОСЧИТАН БЕЗ ВНЕШНИХ БАФФОВ. ПОЭТОМУ ПРОЦЕНТЫ СЧИТАЙТЕ ЧИСТЫЕ</t>
      </text>
    </comment>
    <comment authorId="0" ref="D1">
      <text>
        <t xml:space="preserve">⛔️ПОЯСНЕНИЕ!⛔️
ВЛИЯНИЕ СОЗВЕЗДИЙ НА КОМАНДУ
ЭТО ПРИБАВКА К УРОНУ ПАЧКИ. ПРОЦЕНТ СРЕДНИЙ, ПОЭТОМУ МОЖЕТ НЕМНОГО НЕ СОВПАДАТЬ С ВАШЕЙ ПАЧКЕЙ!
(ЦИФРА)к - ЭТО ХИЛЛ! (ИНОГДА ЩИТ)</t>
      </text>
    </comment>
    <comment authorId="0" ref="E1">
      <text>
        <t xml:space="preserve">☢️ПРОСТО ПРИМЕЧАНИЯ☢️ 
КОММЕНТАРИЙ ОТ АВТОРА, ЧТО БЫ ЛУЧШЕ ПОНЯТЬ ПОЛЬЗУ СОЗВЕЗДИЙ
1 СС - СИЛА СТАТУСА
1 ЭЧ - ЕЛЕМЕНТАЛЬНАЯ ЧАСТИЦА
1 НД - НОЧНОЙ ДУХ
1 Е - ЭНЕРГИЯ
❌ - АДАПТИВНАЯ ПРИБАВКА. КОТОРАЯ ЗАВИСИТ ОТ ИГРОКА</t>
      </text>
    </comment>
    <comment authorId="0" ref="D5">
      <text>
        <t xml:space="preserve">БОНУС ДЛЯ КОМАНДЫ ПОДСЧИТАТЬ НЕВОЗМОЖНО!
ПОТОМУ ЧТО ВСЁ ЗАВИСИТ ОТ ТОГО, С КЕМ ТЫ ИГРАЕШЬ И КАК ЧАСТО НАЖИМАЕШЬ УДАРЫ</t>
      </text>
    </comment>
    <comment authorId="0" ref="D14">
      <text>
        <t xml:space="preserve">ТУТ ПО РАЗНОМУ КОНЕЧНО БЫВАЕТ. НО ПЕРВАЯ РОТАЦИЯ ТОЧНО БУДЕТ ГУД!
14% КАЖДОМУ КРИО НАКИНЕТ! 
5-7 ПЁРИШЕК! ТОП!</t>
      </text>
    </comment>
    <comment authorId="0" ref="E14">
      <text>
        <t xml:space="preserve">У ДОП. ЕШКИ ЕСТЬ НЬЮАНС! ТАМ КОРОЧЕ КОГДА НА ПЕРВУЮ РОТАЦИЮ ВЫДАЁШЬ СРАЗУ ДВЕ.
ТО СКОРЕЙ ВСЕГО ОНИ НЕ УСПЕЮТ ПЕРЕЗАРЯДИТЬСЯ НА СЛЕД РОТАЦИЮ. В ЦЕЛОМ МЫ И ТАК ДОЛЖНЫ ПО КД ДАВАТЬ ЕШКУ. ТАК ЧТО ЭТО БОЛЬШЕ ПОХОЖЕ НА БАФФ ПЕРВОЙ РОТАЦИИ. А ОСТАЛЬНЫЕ ТАК СЕБЕ ПОЙДУТ. ТОЧНЕЕ НИКАК!
НУ В БЕЗДНЕ И ТЕАТРЕ БОЛЕЕ МЕНЕЕ!</t>
      </text>
    </comment>
    <comment authorId="0" ref="D15">
      <text>
        <t xml:space="preserve">15% КРИО УРОНА, НЕ ТАК УЖ МНОГО ДАЮТ... 4% ЭТО ОДНОМУ!</t>
      </text>
    </comment>
    <comment authorId="0" ref="D16">
      <text>
        <t xml:space="preserve">6% ЭТО КАЖДОМУ КРИО ДД!</t>
      </text>
    </comment>
    <comment authorId="0" ref="E19">
      <text>
        <t xml:space="preserve">СМОТРИТЕ В ЧЁМ ПРИКОЛ. КАК БЫ ДА! БЕСКОНЕЧНОСТЬ НЕ ПРЕДЕЛ ВСЕ ДЕЛА. НО! ЕШКИ И УЛЬТЫ СТАКИ ВСЁ ТАК ЖЕ ТРАТЯТ!
ТАК ВОТ! АЯКА И ГАНЬКА В ГЛАЗА ДАЖЕ ЭТИ СТАКИ НЕ УВИДЯТ. ПОТОМУ ЧТО ВЫ ЖЕ НЕ БУДЕТЕ НЕ НАЖИМАТЬ ЕШКИ И УЛЬТЫ. ЭТО АБСОЛЮТНЫЙ КРИНЖ!
НО ЛАДНО! ЕСТЬ СКИРК И РИЗЛИ! ЧТО УЖЕ ХОТЬ ЧТО-ТО!
НО ВСЁ РАВНО ЗА 15 сек. ТЫ ОСОБО БОЛЬШЕ УДАРОВ НЕ СДЕЛАЕШЬ. НУ БУДЕТ НЕ 7, а 12 УДАРОВ ПОД БАФФОМ, ПРИБАВКА ОТ ЭТОГО НЕ БЕЗУМИЕ...
ПОЭТОМУ В ЧЁМ ПРОБЛЕМА?
ДЛИТЕЛЬНОСТЬ БАФФА И ТО ЧТО СТАКИ ЗАКАНЧИВАЮТСЯ.
ПОЭТОМУ ТОЛКУ ОТ С6 ПОЧТИ НЕТ... ЭТО ВАМ ЛЮБОЙ АДЕКВАТНЫЙ ИГРОК СКАЖЕТ!</t>
      </text>
    </comment>
    <comment authorId="0" ref="D23">
      <text>
        <t xml:space="preserve">8%  ЭТО ОДНОМУ ПЕРСОНАЖУ.
ТАМ КОНЕЧНО У ВСЕХ ПО РАЗНОМУ! НО В СРЕДНЕМ ТАК!</t>
      </text>
    </comment>
    <comment authorId="0" ref="E23">
      <text>
        <t xml:space="preserve">ИЗ-ЗА ЧЕГО ДРУГИЕ ПЕРСЫ НЕ ТАК МНОГО ПОЛУЧАТ ОТ ЭТОГО БАФФА КАК АЯКА!</t>
      </text>
    </comment>
    <comment authorId="0" ref="D26">
      <text>
        <t xml:space="preserve">ДАЁТ 6% ЛЮБОМУ КРИО ДД!</t>
      </text>
    </comment>
    <comment authorId="0" ref="D29">
      <text>
        <t xml:space="preserve">ДАЁТ СУММАРНО ЗА БАФФ!</t>
      </text>
    </comment>
    <comment authorId="0" ref="D33">
      <text>
        <t xml:space="preserve">ЩИТ КРЕПЧЕ НА 1,1к</t>
      </text>
    </comment>
    <comment authorId="0" ref="D34">
      <text>
        <t xml:space="preserve">КАЖДЫЙ ТИК ПОЛУЧАЕТСЯ +1к
ВСЕГО: 6к</t>
      </text>
    </comment>
    <comment authorId="0" ref="D36">
      <text>
        <t xml:space="preserve">ЩИТ КРЕПЧЕ НА 1,1к</t>
      </text>
    </comment>
    <comment authorId="0" ref="D37">
      <text>
        <t xml:space="preserve">1,5к ДЛЯ ХИЛЛА. НУ ТАКОЕ...
А ОТ 200 МС! ДРУГОЕ ДЕЛО!</t>
      </text>
    </comment>
    <comment authorId="0" ref="E37">
      <text>
        <t xml:space="preserve">ЗАЧАСТУЮ ЭТО ПИРО ДД В ТАЯНИЕ!</t>
      </text>
    </comment>
    <comment authorId="0" ref="D41">
      <text>
        <t xml:space="preserve">6,5к ЭТО ПРОЧНОСТЬ ЩИТА</t>
      </text>
    </comment>
    <comment authorId="0" ref="D44">
      <text>
        <t xml:space="preserve">ЩИТ КРЕПЧЕ НА 2500</t>
      </text>
    </comment>
    <comment authorId="0" ref="D46">
      <text>
        <t xml:space="preserve">ЩИТ КРЕПЧЕ НА 3500</t>
      </text>
    </comment>
    <comment authorId="0" ref="D50">
      <text>
        <t xml:space="preserve">ДВА ТИКА АКТИВНОМУ ПО 2,5к</t>
      </text>
    </comment>
    <comment authorId="0" ref="D51">
      <text>
        <t xml:space="preserve">ЛЮБОЙ ФИЗ ДД ПОЛУЧАЕТСЯ В СРЕДНЕМ 4%</t>
      </text>
    </comment>
    <comment authorId="0" ref="D52">
      <text>
        <t xml:space="preserve">+2,5к ВСЕХ
+500 АКТИВНОМУ
ВСЕГО: 13,5к</t>
      </text>
    </comment>
    <comment authorId="0" ref="D55">
      <text>
        <t xml:space="preserve">ПРИМЕРНО СТОЛЬКО ДАСТ КРИТ. УРОН ОДНОМУ ФИЗ. ДД! 
А ОТ ДОП. СТАК, РАССКРЫТЬ МОЖНО ТОЛЬКО ПРОТИВ ТОЛПЫ... А ВОТ КАК ЭТО СДЕЛАТЬ? ВОПРОС ОТКРЫТЫЙ...</t>
      </text>
    </comment>
    <comment authorId="0" ref="D63">
      <text>
        <t xml:space="preserve">35% ЭТО ПРИБАВКА ОДНОМУ ТОЛЬКО! А ТАМ ЕЩЁ ОСТАЛЬНЫЕ ГИДРО\ПИРО СТАНУТ СИЛЬНЕЙ НА 11%
ТАК ЧТО СИЛЬНО!
ЩИТ СТАНЕТ КРЕПЧЕ НА 1к</t>
      </text>
    </comment>
    <comment authorId="0" ref="D64">
      <text>
        <t xml:space="preserve">ЩИТ СТАНЕТ КРЕПЧЕ НА 3к</t>
      </text>
    </comment>
    <comment authorId="0" ref="E65">
      <text>
        <t xml:space="preserve">ВЕДЬ У НАС И ТАК НА С6 ВЕЧНЫЙ СТАТУС... МОЖЕТ ПРОСТО ДЛЯ КОЛИЧЕСТА НОЧНОГО ДУХА?</t>
      </text>
    </comment>
    <comment authorId="0" ref="E67">
      <text>
        <t xml:space="preserve">ТАК КАК ВЕСЬ НОЧНОЙ ДУХ СРАЗУ ТРАТИТЬСЯ И НАЧИНАЕТ ПОТРЕБЛЯТЬ ДУХ НИЖЕ 0. ТО ЗНАЧИТ ЕШКА ТУПО ДЛИТСЯ 20 сек.
ЩИТ ЛОМАЕТСЯ САМО СОБОЙ!
БАФФ НАБИРАЕТСЯ ПОСТЕПЕННО! А ЗНАЧИТ РАБОТАЕТ НЕ ОЧЕНЬ СТАБИЛЬНО...</t>
      </text>
    </comment>
    <comment authorId="0" ref="A69">
      <text>
        <t xml:space="preserve">ФРЕМИНЕ ПАРЕНЬ УНИКАЛЬНЫЙ ВЕДЬ У НАС ТУТ И ФИЗ. И КРИО, И ТАК ЖЕ ПРЫЖКИ У ЕГО ХОРОШИЕ
КОРОЧЕ! ВСЁ ТЯЖКО...
СВЕРХУ ПРИМЕР ФИЗ СБОРКИ!
ТАМ У НАС КОСНТЫ НА ФИЗ
ТУТ КРИО \ ПРЫЖКИ ВЛИЯНИЕ:
С1 - 5% \ 2%
С2 - 12Е \ 3Е
С3 - 2% \ 14%
С4 - 4,5% \ 6%
С5 - 13% \ 3,5%
С6 - 7% \ 14%</t>
      </text>
    </comment>
    <comment authorId="0" ref="D76">
      <text>
        <t xml:space="preserve">1,5к ЗА ТИК В УЛЬТЕ!
ХИЛЛА МНОГО МОЖЕТ, А МОЖЕТ И НЕ МОЖЕТ...
КОРОЧЕ РАНДОМ!</t>
      </text>
    </comment>
    <comment authorId="0" ref="D78">
      <text>
        <t xml:space="preserve">1к ХИЛА АКТИВНОМУ ЗА ТИК.
150 ХИЛА ЗА УДАР ВСЕМ!</t>
      </text>
    </comment>
    <comment authorId="0" ref="E81">
      <text>
        <t xml:space="preserve">ТУТ ВАЖНО ИМЕННО ПРАВИЛЬНО ЕШКУ НАЖИМАТЬ И ПРАВИЛЬНЫХ ПЕРСОВ БРАТЬ. ЯСНОЕ ДЕЛО, ЧТО КАКОЙ-ТО РИЗЛИ ОТ 15% НИЧЕГО НЕ ПОЛУЧИТ. НО ЗАТО СЯНКА ИЛИ БЕННЕТ! ОГО-ГО-ГО!
ПЛЮС ЦЕРЕМОНИЯ(МЕЧ) СЕБЯ ЕЩЁ ЛУЧШЕ ПОКАЗЫВАЕТ. НУ А ЧТО?! ДЛЯ НЕГО ЖЕ И ДЕЛАЛИ</t>
      </text>
    </comment>
    <comment authorId="0" ref="D98">
      <text>
        <t xml:space="preserve">ЕСЛИ ФУЛЛ ПАЧКА СОСТОИТ ИЗ КРИО, ЧТО В ЦЕЛОМ ПОЗВОЛЯЕТ НАМ П2, ТО МЫ ПОЛУЧАЕМ ЦЕЛЫХ 60% ПРИБАВКИ
ЭСКОФЬЕ НЕ УЧИТЫВАЕТСЯ!</t>
      </text>
    </comment>
    <comment authorId="0" ref="E99">
      <text>
        <t xml:space="preserve">РАБОТАЕТ ТОЛЬКО НА ОДНОГО АКТИВНОГО ПЕРСА!</t>
      </text>
    </comment>
    <comment authorId="0" ref="D101">
      <text>
        <t xml:space="preserve">ХИЛЛ НА П1 ПОЛУЧАЕТ КРИТЫ И ДЛИТЕЛЬНОСТЬ +6сек.
7 КРИТОВ - ПО +3,3к
6 ТИКОВ - ПО +3,3к</t>
      </text>
    </comment>
    <comment authorId="0" ref="D102">
      <text>
        <t xml:space="preserve">2к КАЖДОМУ ИЗ УЛЬТЫ</t>
      </text>
    </comment>
    <comment authorId="0" ref="C105">
      <text>
        <t xml:space="preserve">ЕСЛИ УЛЬТ ВЗРЫВНОЙ ТО ДАСТ 28%
ЕСЛИ УЛЬТ УСИЛЯЕТ СТОЙКУ ЕШКИ ТО ЭТО ДАСТ 14%</t>
      </text>
    </comment>
    <comment authorId="0" ref="D116">
      <text>
        <t xml:space="preserve">5% АКТИВНОМУ ПЕРСУ!</t>
      </text>
    </comment>
    <comment authorId="0" ref="D120">
      <text>
        <t xml:space="preserve">4,5% АКТИВНОМУ ПЕРСУ!</t>
      </text>
    </comment>
    <comment authorId="0" ref="D121">
      <text>
        <t xml:space="preserve">7% АКТИВНОМУ ПЕРСУ!</t>
      </text>
    </comment>
    <comment authorId="0" ref="A123">
      <text>
        <t xml:space="preserve">У ПИРО ГГ ОЧЕНЬ МНОГО ПРИМЕНЕНИЙ. ТАК ЧТО СЮДА РЕШИЛ ЕЩЁ ДОБАВИТЬ ОТ СВОЕГО УРОНА. 
В *ЭФФЕКТИВНОСТЬ* У НАС ТАМ БОЛЬШЕ ОТ ЦВЕТЕНИЯ!</t>
      </text>
    </comment>
    <comment authorId="0" ref="C127">
      <text>
        <t xml:space="preserve">Подсчёту к сожалению не поддаётся. Так как вы сами решаете, что будете делать с этой инфузией</t>
      </text>
    </comment>
    <comment authorId="0" ref="A129">
      <text>
        <t xml:space="preserve">В ПРЫЖКАХ КОНСТЫ СМЫСЛА СЧИТАТЬ НЕТ! ВЕДЬ УРОН ОТ КОНСТ ВООБЩЕ ПОЧТИ НЕ РАСТЁТ!</t>
      </text>
    </comment>
    <comment authorId="0" ref="C146">
      <text>
        <t xml:space="preserve">2.8к ЗА ЕШКУ ПОД УЛЬТОЙ!</t>
      </text>
    </comment>
    <comment authorId="0" ref="D157">
      <text>
        <t xml:space="preserve">4% ЭТО ПРИБАВКА ДЛЯ ОДНОГО ПИРО ПЕРСА! НАПРИМЕР МАВУИКА ИЛИ СЯНКА!</t>
      </text>
    </comment>
    <comment authorId="0" ref="D161">
      <text>
        <t xml:space="preserve">КАЖДЫЙ ПИРО ПЕРСОНАЖ ПОЛУЧАЕТ 10% ПРИБАВКИ!</t>
      </text>
    </comment>
    <comment authorId="0" ref="E164">
      <text>
        <t xml:space="preserve">НУ И ПЕРЕМЕЩЕНИЕ ДОЛЖЕН!
ЧТО ТОЖЕ ИМБА!</t>
      </text>
    </comment>
    <comment authorId="0" ref="C171">
      <text>
        <t xml:space="preserve">ПРИБАВКУ ВЫЧИСЛИТЬ СЛОЖНО, ТАК КАК ШК АБСОЛЮТНО У ВСЕХ РАЗНЫЙ!</t>
      </text>
    </comment>
    <comment authorId="0" ref="D172">
      <text>
        <t xml:space="preserve">ЩИТ НЕМНОГО СИЛЬНЕЙ БУДЕТ!</t>
      </text>
    </comment>
    <comment authorId="0" ref="C173">
      <text>
        <t xml:space="preserve">6% ЕСЛИ ТЫ САМ ДАМАЖИШЬ!</t>
      </text>
    </comment>
    <comment authorId="0" ref="D173">
      <text>
        <t xml:space="preserve">ДЛЯ ЛЮБОГО ФИЗ. ДД!</t>
      </text>
    </comment>
    <comment authorId="0" ref="C175">
      <text>
        <t xml:space="preserve">21% ЕСЛИ ИГРАТЬ КАК ДД! 
НО ПОНЯТНОЕ ДЕЛО, НЕ СОВЕТУЮ...</t>
      </text>
    </comment>
    <comment authorId="0" ref="D176">
      <text>
        <t xml:space="preserve">ПОРЕЗКА КРУТАЯ, ПОКА НЕ ПОСТАВИШЬ ЕЩЁ ОДНУ ПОРЕЗКУ, КОТОРАЯ УЖЕ УМЕНЬШИТ ЭФФЕКТ ОТ ЭТОЙ!
6% ЭТО ПРИ НАЛИИЧИ ПОРЕЗКИ!</t>
      </text>
    </comment>
    <comment authorId="0" ref="C183">
      <text>
        <t xml:space="preserve">10% - ЭТО ДЛЯ ЧИСТОГО УРОНА
18% - ЭТО В ЦВЕТЕНИИ</t>
      </text>
    </comment>
    <comment authorId="0" ref="C188">
      <text>
        <t xml:space="preserve">КАК БЫ ПОЛЬЗА ЗАВИСИТ СУГУБО ОТ ИГРОКА!</t>
      </text>
    </comment>
    <comment authorId="0" ref="D191">
      <text>
        <t xml:space="preserve">10% ОДНОМУ ДД! БАФФ ДЛИТЬСЯ СТАБИЛЬНО! В ОТЛИЧИИ ОТ П1.</t>
      </text>
    </comment>
    <comment authorId="0" ref="C193">
      <text>
        <t xml:space="preserve">ТУТ КАК БОГ ДАСТ!</t>
      </text>
    </comment>
    <comment authorId="0" ref="D199">
      <text>
        <t xml:space="preserve">18% В СРЕДНЕМ АКТИВНОМУ ПЕРСОНАЖУ! НО ОЧЕВИДНО!
ЧТО НЕКОТОРЫЕ ПЕРСОНАЖИ ПОЛУЧАЮТ ЛИШЬ ОДИН СТАК, КОТОРЫЙ ДАСТ 6% ПРИБАВКИ!
ПЛЮС НЕ ЗАБЫВАЕМ ЧТО ХИЛЛ ВСЕМ ТОЖЕ БАФФ ОБНОВИТ ВСЕМ!</t>
      </text>
    </comment>
    <comment authorId="0" ref="D205">
      <text>
        <t xml:space="preserve">В СРЕДНЕМ ДАСТ 5% ПРИБАВКИ КАЖДОМУ ДД ОТ СА!</t>
      </text>
    </comment>
    <comment authorId="0" ref="C209">
      <text>
        <t xml:space="preserve">ЩИТ ПО КРЕПКОСТИ НЕ ПЛОХОЙ! НО ИЗ-ЗА ТОГО, ЧТО У ЕЁ МАЛО ЗАЩИТЫ, СЛЕТАЕТ ОН БЫСТРО!</t>
      </text>
    </comment>
    <comment authorId="0" ref="C212">
      <text>
        <t xml:space="preserve">33% В ФОРМЕ ТЬМЫ
В СВЕТЛОЙ ФОРМЕ НЕ ПРИБАВКИ</t>
      </text>
    </comment>
    <comment authorId="0" ref="D212">
      <text>
        <t xml:space="preserve">20-30% ЗАВИСИТ ОТ КОЛИЧЕСТВА ПОТРАЧЕННЫХ СТАКОВ!
А ТАК ЖЕ В ФОРМЕ ТЬМЫ МЫ НИКОГО НЕ БАФФАЕМ, КРОМЕ СЕБЯ!</t>
      </text>
    </comment>
    <comment authorId="0" ref="C213">
      <text>
        <t xml:space="preserve">В СВЕТЛОЙ ФОРМЕ ПРИБАВКА НИЖЕ!</t>
      </text>
    </comment>
    <comment authorId="0" ref="C215">
      <text>
        <t xml:space="preserve">ЭТО ИМЕННО ДЛЯ ФОРМЫ ТЬМЫ! ТАКОЙ БУСТ. А ДЛЯ ФОРМЫ СВЕТА В РАЗА ДВА СЛАБЕЙ ВЕДЬ ПОЛУЧАЕТ ЧИСТО 40% В УЛЬТУ</t>
      </text>
    </comment>
    <comment authorId="0" ref="E215">
      <text>
        <t xml:space="preserve">В СВЕТЛОЙ ФОРМЕ НЕ ПОЛУЧИТЬ ПЛЮСОМ 6 СТАКОВ, ПО ФАКТУ НЕРАЛИЗУЕМО НИКЕМ. КОРОЧЕ БАФФ ЧИСТО ПОД ДД СТОЙКУ!</t>
      </text>
    </comment>
    <comment authorId="0" ref="C217">
      <text>
        <t xml:space="preserve">ЭТО БАФФ ДЛЯ ТЬМЫ!
ДЛЯ СВЕТ БУДЕТ 50% ПРИБАВКИ, НУ И ПРИМЕРНО В ДВА РАЗА МЕНЬШЕ ДЛЯ ДД! КОРОЧЕ ОПЯТЬ КОНСТА В ДВА РАЗА СЛАБЕЙ ДЛЯ СВЕТЛОЙ ФОРМЫ...
НО НЕ ЗАБЫВАЙТЕ ЧТО ОН БАФФАЕТ ВСЕХ ПО 25-30%
ПОЭТОМУ БОЛЕЕ МЕНЕЕ!</t>
      </text>
    </comment>
    <comment authorId="0" ref="D217">
      <text>
        <t xml:space="preserve">ЭТО ПРИБАВКА ДЛЯ ОДНОГО ПЕРСОНАЖА!
А ТАК ТО МОЖЕМ БАФФНУТЬ СРАЗУ ТРОИХ! ЧТО УЖЕ БУДЕ НЕ ХУЖЕ, ЧЕМ ДЛЯ ТЬМЫ!</t>
      </text>
    </comment>
    <comment authorId="0" ref="D221">
      <text>
        <t xml:space="preserve">КАК ВСЕГДА, БАФФ НА СКОРОСТЬ АТАКИ РАССЧИТАТЬ ОЧЕНЬ СЛОЖНО ИМЕННО ДЛЯ ДРУГИХ ДД. ТАК ЧТО ТУТ ВСЁ ОТ ИГРОКОВ ЗАВИСИТ!</t>
      </text>
    </comment>
    <comment authorId="0" ref="D225">
      <text>
        <t xml:space="preserve">7,5% АКТИВНОМУ ГИДРО ДД!</t>
      </text>
    </comment>
    <comment authorId="0" ref="C233">
      <text>
        <t xml:space="preserve">ЩИТ ПО 2к КОТОРЫЙ ПОСТОЯННО ПОЯВЛЯЕТСЯ И ОБНОВЛЯЕТСЯ!</t>
      </text>
    </comment>
    <comment authorId="0" ref="E235">
      <text>
        <t xml:space="preserve">ХИЛЛ ТАМ КОПЕЙКИ. ЛУЧШЕ ПОСТАВЬТЕ МОНУ С ЯНТАРЁМ. И ТО В 10 РАЗ БОЛЬШЕ ДАСТ...</t>
      </text>
    </comment>
    <comment authorId="0" ref="D237">
      <text>
        <t xml:space="preserve">В СРЕДНЕМ ЩИТ СУММАРНО СТАНЕТ ЛУЧШЕ НА 2,5к</t>
      </text>
    </comment>
    <comment authorId="0" ref="D241">
      <text>
        <t xml:space="preserve">+10% СКОРОСТИ АТАКИ. ЗВУЧИТ ХОРОШО, А НА ДЕЛЕ ВЫЧИСЛИТЬ ПОЛЬЗУ ПОЧТИ НЕВОЗМОЖНО!
НО В ЛЮБОМ СЛУЧАЕ БАФФ ПРИЯТНЫЙ!</t>
      </text>
    </comment>
    <comment authorId="0" ref="E241">
      <text>
        <t xml:space="preserve">ТОЛКУ ОТ ВОСРЕШАЛКИ? ЕСЛИ МЫ ПОД ЩИТОМ ДАЛИИ УМЕРЕТЬ НЕ МОЖЕМ?</t>
      </text>
    </comment>
    <comment authorId="0" ref="D245">
      <text>
        <t xml:space="preserve">8% ЭТО ИМЕННО ДЛЯ ФУРИНЫ</t>
      </text>
    </comment>
    <comment authorId="0" ref="E254">
      <text>
        <t xml:space="preserve">У СТАТУСА НЕТ КД.
А ТАК ЖЕ НЕ ЗАБЫВАЙТЕ, ЧТО НАДО ДЕЛАТЬ ИМЕННО 3 УДАР ИЗ СЕРИИ. ТАК ЧТО ЗАКАНЧИВАЙТЕ УДАРЫ ВСЕГДА!</t>
      </text>
    </comment>
    <comment authorId="0" ref="E255">
      <text>
        <t xml:space="preserve">ТАМ СМЕШНО В ЧЁМ?
КОРОЧЕ МЫ ЖЕ ИГРАЕМ С ФУРИНОЙ, А КОГДА ИГРАЕМ С ФУРИНОЙ, ТО НЕ МОЖЕМ ОПУСКАТЬ ХП НИЖЕ 50%, А КОНСТА ТОЛЬКО ПРИ НИЖЕ 50% И РАБОТАЕТ... АХАХАХ!</t>
      </text>
    </comment>
    <comment authorId="0" ref="D256">
      <text>
        <t xml:space="preserve">ХИЛЛ И ТАК В ПЕРЕИЗБЫТКЕ!</t>
      </text>
    </comment>
    <comment authorId="0" ref="D258">
      <text>
        <t xml:space="preserve">ХИЛЛ И ТАК В ПЕРЕИЗБЫТКЕ!</t>
      </text>
    </comment>
    <comment authorId="0" ref="D260">
      <text>
        <t xml:space="preserve">8% ДАЁТ ОДНОМУ ЛЮБОМУ ДД ОТ ГИДРО РЕАКЦИЙ</t>
      </text>
    </comment>
    <comment authorId="0" ref="D263">
      <text>
        <t xml:space="preserve">БАФФ НЕ БОЛЬШОЙ, ВЕДЬ ДЛИТЬСЯ ТАК СЕБЕ...
7% ЭТО КАЖДОМУ ДД В ПАЧКЕ!</t>
      </text>
    </comment>
    <comment authorId="0" ref="C278">
      <text>
        <t xml:space="preserve">15% - ЭТО НА ПОЛЕ
6% - ЭТО С КАРМАНА</t>
      </text>
    </comment>
    <comment authorId="0" ref="A279">
      <text>
        <t xml:space="preserve">НА САМОМ ДЕЛЕ РАЗНИЦА В КОНСТАХ МЕЖДУ САП И ДД.
ПОЯВЛЯЕТСЯ ТОЛЬКО НА С1 И С6
ВСЕ ОСТАЛЬНЫЕ КОНСТЫ +-ОДИНАКОВЫ! ПОЭТОМУ РЕКОМЕНДУЮ НА С2 ОСТАНОВИТЬСЯ ЕСЛИ ИГРАЕТЕ С КАРМАНА!</t>
      </text>
    </comment>
    <comment authorId="0" ref="C279">
      <text>
        <t xml:space="preserve">29% - ЕСЛИ НА ПОЛЕ
27% - ЕСЛИ С КАРМАНА</t>
      </text>
    </comment>
    <comment authorId="0" ref="D279">
      <text>
        <t xml:space="preserve">КАЖДОМУ ЧЛЕНУ КОМАНДЫ УВЕЛИЧИВАЕТ УРОН НА 20% В СРЕДНЕМ! БЫВАЕТ БОЛЬШЕ, БЫВАЕТ МЕНЬШЕ!</t>
      </text>
    </comment>
    <comment authorId="0" ref="C280">
      <text>
        <t xml:space="preserve">3% - ЕСЛИ НА ПОЛЕ
2% - ЕСЛИ С КАРМАНА</t>
      </text>
    </comment>
    <comment authorId="0" ref="C281">
      <text>
        <t xml:space="preserve">8% - ЭТО НА ПОЛЕ
9% - ЭТО С КАРМАНА</t>
      </text>
    </comment>
    <comment authorId="0" ref="C282">
      <text>
        <t xml:space="preserve">10% - ЭТО НА ПОЛЕ
1% - ЭТО С КАРМАНА</t>
      </text>
    </comment>
    <comment authorId="0" ref="C283">
      <text>
        <t xml:space="preserve">19% - ЭТО В КАРМАНЕ
50% - ЭТО НА ПОЛЕ</t>
      </text>
    </comment>
    <comment authorId="0" ref="D284">
      <text>
        <t xml:space="preserve">3 ПРЫЖКА ПУЗЫРЯ ЭТО +5к ВСЕМ 3 РАЗА. КРОМЕ СИДЖИ!
(3х5к)х3 = 45к ХИЛА
ПО ПОВОДУ БАФФА! НУ ТАМ ПО РАЗНОМУ МЫ ДАЁМ. КОМУ-ТО 25%, КОМУ-ТО 44%. ПОТОМУ ЧТО УРОН ЧИСТЫЙ ДАЁТСЯ. А ЗНАЧИТ, ЧЕМ ВЫШЕ САМОСТОЯТЕЛЬНЫЙ УРОН ДД, ТЕМ МЕНЬШЕ %
ВОТ ТАКИЕ ДЕЛА! НО В СРЕДНЕМ 34% БУДЕТ ПРИМЕРНО!</t>
      </text>
    </comment>
    <comment authorId="0" ref="E284">
      <text>
        <t xml:space="preserve">ЕСТЬ ОДИН МИНУС! СЕБЯ ХРЕН ПОЙМИ КОГДА ХИЛЛИТ.
ВЕДЬ 8 ПРЫЖКОВ УЖЕ НЕ ПОНЯТНО КОГДА ЗАКОНЧАТСЯ... 
ФАНФАРЫ НЕ НАБИРАЮТСЯ. ИЗ-ЗА ЧЕГО НА С1 СИДЖИ НАБИРАЕТ ФАНФАРЫ ФУРИНЫ МЕДЛЕНЕЙ, ЧЕМ НА С0
ВОТ ТАКОЙ ПРИКОЛ! И ТОЛЬКО НА С3 МЫ НАЧИНАЕМ ФАНФАРЫ СОБИРАТЬ КАК НА С0... РОФЛ НЕ ИНАЧЕ...
КОРОЧЕ НАДО ФУРИНА С1, ЧТО БЫ КОМПЕНСИРОВАТЬ ЭТОТ МИНУС СИДЖИ!
ИЛИ ЖЕ! МЫ МОЖЕМ НАПРИМЕР НАЖИМАТЬ ЕШКУ ДО УЛЬТЫ ФУРИНЫ, ЧТО БЫ ПУЗЫРЬ РАНЬШЕ ЗАКОНЧИЛСЯ. Я НАПРИМЕР ТАК И ДЕЛАЮ, НО ЕСЛИ ЗАБЫВАЮ ПРО ЭТО... У ФУРИНЫ СРАЗУ МИНУС 1 ПЕРС НА ФАНФАРЫ И ЕШКА КСТА ТОЖЕ СЛАБЕЙ ДАМАЖИТЬ НАЧИНАЕТ. АХАХАХАХ!</t>
      </text>
    </comment>
    <comment authorId="0" ref="D285">
      <text>
        <t xml:space="preserve">25% ЭТО ОДНОМУ ГИДРО ПЕРСОНАЖУ СТОЛЬКО ДАЁТ!
ТО ЕСТЬ В МОНО ГИДРО, ЭТО 25%х2 и 22% СЕБЕ. 
НУ БУСТ СИЛЬНЫЙ!
ЕСЛИ В ПАЧКЕ БУДЕТ ЭСКО ИЛИ КАЗАХ\ШИЛО, ТО КОНЕЧНО % БУДЕТ НИЖЕ!
ГДЕ-ТО НА 10% ТОЧНО НИЖЕ БУДЕТ! ТО ЕСТЬ В СРЕДНЕМ 15% ГИДРО ПЕРСУ</t>
      </text>
    </comment>
    <comment authorId="0" ref="D286">
      <text>
        <t xml:space="preserve">1к КАЖДОМУ ТИКУ.
(1х7)х3 = 21к ХИЛЛА</t>
      </text>
    </comment>
    <comment authorId="0" ref="D290">
      <text>
        <t xml:space="preserve">ПЛЮС ИХ ОТ МЕЧА!</t>
      </text>
    </comment>
    <comment authorId="0" ref="D291">
      <text>
        <t xml:space="preserve">9% ОДНОМУ ГИДРО ПЕРСОНАЖУ!</t>
      </text>
    </comment>
    <comment authorId="0" ref="D302">
      <text>
        <t xml:space="preserve">ДАЁТ 8,5% АКТИВНОМУ ДД НА ФУЛЛ ФАНФАРАХ!
КАРМАН ГДЕ-ТО 8%</t>
      </text>
    </comment>
    <comment authorId="0" ref="D304">
      <text>
        <t xml:space="preserve">ДАЁТ 8,5% АКТИВНОМУ ДД НА ФУЛЛ ФАНФАРАХ!
КАРМАН ГДЕ-ТО 8%</t>
      </text>
    </comment>
    <comment authorId="0" ref="C307">
      <text>
        <t xml:space="preserve">ЕСЛИ БУДЕШЬ ПРОСТО СТОЯТЬ И БИТЬ, ТО УРОН СТАНЕТ МЕНЬШЕ...
ТАК ЧТО ЛУЧШЕ ДАЛЬШЕ ИГРАТЬ В КАРМАНЕ, ПРОСТО САМОМУ ХИЛИТЬ ПАЧКУ ПЛЮСОМ!
59% ЕСЛИ ВЫ ПРОСТО ДАДИТЕ ПАРУ УДАРОВ ПОСЛЕ ЕШКИ И ДАДИТЕ ХИЛ ОТ СЕБЯ. ВОТ!</t>
      </text>
    </comment>
    <comment authorId="0" ref="E307">
      <text>
        <t xml:space="preserve">В *РОТАЦИЯ* Я ВЫДАВИЛ МАКСИМУМ ОТ ДД СТОЙКИ, НО ТОЛКУ ОТ ЭТОГО НЕ МНОГО...</t>
      </text>
    </comment>
    <comment authorId="0" ref="D308">
      <text>
        <t xml:space="preserve">5% ОДНОМУ ПЕРСОНАЖУ, КОТОРЫЙ УСИЛЯЕТСЯ ОТ МС</t>
      </text>
    </comment>
    <comment authorId="0" ref="D313">
      <text>
        <t xml:space="preserve">12% ЭТО ОДНОМУ ПЕРСОНАЖУ. КОТОРОМУ ЭТИ БАФФЫ ЧТО-ТО ДАЮТ!</t>
      </text>
    </comment>
    <comment authorId="0" ref="E317">
      <text>
        <t xml:space="preserve">УЛЬТА БУДЕТ ДЛИТЬСЯ СТАБИЛЬНЕЙ НА 1.5 СЕКУНДЫ</t>
      </text>
    </comment>
    <comment authorId="0" ref="E319">
      <text>
        <t xml:space="preserve">МОБИЛЬНОСТИ НЕ ВСЕГДА ХВАТАЕТ, ЧТО БЫ ПОЛУЧАТЬ НОЧНОЙ ДУХ И ПЕРЕИЗБЫКЕ.
+3 сек. В УЛЬТУ. НА САМОМ ДЕЛЕ НЕ СИЛЬНО ПОМОГАЮТ. ВЕДЬ ДАЛЕКО НЕ ВСЕ ПЕРСОНАЖИ И ДО ЭТОГО МОГЛИ СТАБИЛЬНО УДЕРЖИВАТЬ БАФФ. А ТЕПЕРЬ ЕЩЁ 3 сек. НАДО ДВИГАТЬСЯ КАК ЧЁРТ! КОРОЧЕ ПАЛКА С ДВУХ СТОРОН...</t>
      </text>
    </comment>
    <comment authorId="0" ref="E321">
      <text>
        <t xml:space="preserve">ЕСЛИ ВЫ БУДЕТЕ ИГРАТЬ В ДАБЛ ЭЛЕКТРО(НАПРИМЕР: ИАНСАН ИЛИ ФИШЛЬ), А ТАК ЖЕ ИМЕТЬ 140% ВЭ. ТО!
МОЖНО ДЕЛАТЬ ДАЖЕ 4 УЛЬТЫ!</t>
      </text>
    </comment>
    <comment authorId="0" ref="E325">
      <text>
        <t xml:space="preserve">МОЖНО БЕСКОНЕЧНО ПЕРЕМЕЩАТЬСЯ В МИРЕ! ТО ЕСТЬ БЕСКОНЕЧНЫЙ БЕГ В ЕШКЕ</t>
      </text>
    </comment>
    <comment authorId="0" ref="D326">
      <text>
        <t xml:space="preserve">ПРОЧНОСТЬ ЩИТА</t>
      </text>
    </comment>
    <comment authorId="0" ref="C329">
      <text>
        <t xml:space="preserve">БОНУС СЛИШКОМ АДАПТИВНЫЙ.
ТО ЕСТЬ У ВСЕХ РАЗНЫЙ!</t>
      </text>
    </comment>
    <comment authorId="0" ref="E329">
      <text>
        <t xml:space="preserve">ПОЛЬЗУ ОТ ЭТОЙ КОНСТЫ ПОСЧИТАТЬ СЛОЖНО. ВЕДЬ МЫ ДОСТАТОЧНО РЕДКО БЬЁМ УДАРАМИ. 
ТА И ЭТИ ЭЛЕКТРО УДАРЫ НЕ КАСАЮТСЯ БУТОВ, ИЗ-ЗА ЧЕГО БУТОНЫ ВЗРЫВАТЬ ПОЛУЧИТЬСЯ ТОЛЬКО ЧЕРЕЗ ЕШКУ И АКТИВАЦИЮ УЛЬТЫ!
ДА, СТИМУЛЯЦИЮ И ЗАРЯЖЕННЫЕ ПРОКАЕМ!</t>
      </text>
    </comment>
    <comment authorId="0" ref="D331">
      <text>
        <t xml:space="preserve">9% ЭТО ОДНОМУ ЭЛЕКТРО ПЕРСУ!
ВАЖНО ПОНИМАТЬ, ЧТО В МОНО ЭЛЕКТРО БАФФ ТОЛЬКО ДЛЯ НАС. А В 3 ЭЛЕКТРО МЫ ИГРАЕТ ВЕСЬМА РЕДКО! ПОЭТОМУ БАФФ НЕ НАСТОЛЬКО И СИЛЬНЫЙ!</t>
      </text>
    </comment>
    <comment authorId="0" ref="E332">
      <text>
        <t xml:space="preserve">3 сек. РАЗНИЦЫ С БАФФОМ МЕЖДУ ЕШКОЙ И УЛЬТОЙ, МОЖЕТ СВОЁ ДАТЬ, НО ВЫ ЭТО НЕ ОЩУТИТЕ!</t>
      </text>
    </comment>
    <comment authorId="0" ref="C333">
      <text>
        <t xml:space="preserve">БОСС - 4%
ТОЛПА - 8%</t>
      </text>
    </comment>
    <comment authorId="0" ref="E333">
      <text>
        <t xml:space="preserve">ДВА ДОПОЛНИТЕЛЬНЫХ ПРЫЖКА НЕ ПРЫГАЮТ МЕЖДУ ДВУХ ВРАГОВ!</t>
      </text>
    </comment>
    <comment authorId="0" ref="E335">
      <text>
        <t xml:space="preserve">8Е ПРИ НАЖАТИЕ ДАЁТ КОНЕЧНО МНОГО! НО!
25% СКОРОСТИ УЛЬТЫ. НИКАК НЕ РЕЖУТ НАШИ ЛИМИТЫ. ИЗ-ЗА ЧЕГО КОЛИЧЕСТВО СТАТУСА НИКАК НЕ МЕНЯЕТСЯ! КОРОЧЕ С4 ПОЛЕЗНАЯ, НО МОГЛА БЫТЬ НАМНОГО ЛУЧШЕ!</t>
      </text>
    </comment>
    <comment authorId="0" ref="D337">
      <text>
        <t xml:space="preserve">СА ЭТО ТАКОЙ БАФФ, ЧТО ТУТ НЕТ СТАБИЛЬНОЙ ПРИБАВКИ. ВСЕМ ПО РАЗНОМУ.
9% ЭТО ОДНОМУ ПЕРСУ!
ЕСЛИ ОДИН СТАК СЛОВИТ ПЕРС, ТО БУДЕТ 4% В СРЕДНЕМ</t>
      </text>
    </comment>
    <comment authorId="0" ref="E338">
      <text>
        <t xml:space="preserve">ПО ФАКТУ 8% ЭТО ТОЛЬКО ЕСЛИ МЫ ИГРАЕМ ОТ СВОЕГО УРОНА
ЕСЛИ ЖЕ БУДЕТ ИГРАТЬ ОТ РЕАКЦИЙ, НАПРИМЕР ДАЖЕ В НАЦИОНАЛКЕ, ТО УЖЕ БУДЕТ 6%
А В ВЕГЕТАЦИИ ТАК ВООБЩЕ 2%
КОРОЧЕ НОРМАЛЬНАЯ КОНСТА, НО СИЛЬНО ЗАВИСИТ ОТ ТОГО КАК ВЫ ИГРАЕТЕ</t>
      </text>
    </comment>
    <comment authorId="0" ref="E339">
      <text>
        <t xml:space="preserve">ВСЁ ТОЖЕ САМОЕ. 37% ЭТО ЕСЛИ ОТ СВОЕГО УРОНА
ЕСЛИ ИГРАТЬ В НАЦИОНАЛКЕ, ТО ДАСТ 25%
А ЕСЛИ В ВЕГЕТАЦИИ ТО ВООБЩЕ 12%
ВСЁ ОПЯТЬ УПАРИВАЕТСЯ В ТО, КАК ВЫ ИГРАЕТЕ</t>
      </text>
    </comment>
    <comment authorId="0" ref="E340">
      <text>
        <t xml:space="preserve">ВСЁ ТОЖЕ САМОЕ. 22% ЭТО ЕСЛИ ОТ СВОЕГО УРОНА
ЕСЛИ ИГРАТЬ В НАЦИОНАЛКЕ, ТО ДАСТ 14%
А ЕСЛИ В ВЕГЕТАЦИИ ТО ВООБЩЕ 5%
ВСЁ ОПЯТЬ УПАРИВАЕТСЯ В ТО, КАК ВЫ ИГРАЕТЕ</t>
      </text>
    </comment>
    <comment authorId="0" ref="D341">
      <text>
        <t xml:space="preserve">12-20% ЭТО НЕ КАЖДОМУ, А СУМАРРНЫЙ БАФФ ВСЕМ
ЧАЩЕ ВСЕГО БАФФАЕТ 1-2 ПЕРСОНАЖЕЙ. САМА РАЙДЭН БАФФА НЕ ПОЛУЧАЕТ.
ОСОБО КРУТО РАБОТАЕТ С ФИШКОЙ И СЯНКОЙ, ПОТОМУ ЧТО ОНИ ФИКСИРУЮТ БАФФЫ
СИТУАЦИЙ ГДЕ МЫ НЕ ПОЛУЧАЕМ ПРИБАВКИ, В ЦЕЛО И НЕТ ДАЖЕ</t>
      </text>
    </comment>
    <comment authorId="0" ref="D343">
      <text>
        <t xml:space="preserve">СЛИШКОМ ВСЁ СИТУАТИВНО, НО ЗАЧАСТУЮ ПОЛЬЗЫ ОЧЕНЬ МАЛО...</t>
      </text>
    </comment>
    <comment authorId="0" ref="E343">
      <text>
        <t xml:space="preserve">В РЕАЛЬНОСТИ, САМА РАЙДЭН НЕ УСПЕВАЕТ ОБНОВИТЬ СВОЙ ЖЕ УЛЬТИМЕЙТ, КОГДА ДРУГИЕ УЖЕ С ЭТОЙ УЛЬТОЙ ХОДЯТ.
Я МОЛЧУ ПРО ТО ЧТО ВАМ ЭНЕРГИИ МОЖЕТ НЕ ХВАТАТЬ ДЛЯ УЛЬТЫ ДРУГИХ. ВЕДЬ 5 сек. СРЕЗА - ЭТО ДЛЯ БОЛЬШИНСТВА НА 33% БЫСТРЕЕ УЛЬТА, НО ВОТ ПОЛУЧИЛИ ЛИ МЫ ВЗАМЕН НА 33% БОЛЬШЕ ЭРЕНГИИ ДЛЯ ЭТИХ УЛЬТОВ.
НЕТ!
ПОЭТОМУ С6 ОЧЕНЬ СТРАННАЯ И МЕГА ПЛОХО РАБОТАЕТ!!!</t>
      </text>
    </comment>
    <comment authorId="0" ref="C344">
      <text>
        <t xml:space="preserve">24Е ЗА 3 ТОТЕМА, НО МОЖЕТ НЕ ПОВЕСТИ И БУДЕТ 0 ТОТЕМОВ...
ЧТО МИНУС КОНСТА...</t>
      </text>
    </comment>
    <comment authorId="0" ref="C345">
      <text>
        <t xml:space="preserve">ПРИБАВКА КОГДА МЫ КАК ДРАЙВЕР ВЕГЕТАЦИИ В 2 РАЗА СЛАБЕЙ, ТО ЕСТЬ 8%</t>
      </text>
    </comment>
    <comment authorId="0" ref="C346">
      <text>
        <t xml:space="preserve">ПРИБАВКА КОГДА МЫ КАК ДРАЙВЕР ВЕГЕТАЦИИ В 2 РАЗА СЛАБЕЙ, ТО ЕСТЬ 7%</t>
      </text>
    </comment>
    <comment authorId="0" ref="C347">
      <text>
        <t xml:space="preserve">ПРИБАВКА КОГДА МЫ КАК ДРАЙВЕР ВЕГЕТАЦИИ В 2 РАЗА СЛАБЕЙ, ТО ЕСТЬ 5%</t>
      </text>
    </comment>
    <comment authorId="0" ref="D347">
      <text>
        <t xml:space="preserve">КАЖДОМУ ЭЛЕКТРО ПЕРСУ ДАЁТ 10% В СРЕДНЕМ!
В ДАБЛ ЭЛЕКТРО ИГРАЕМ ЧАСТО, А ЗНАЧИТ ПРИБАВКА ОЧЕНЬ ПОЛЕЗНА!
БАФФ НЕ СЛАБЕЕ ДЛЯ КОМАНДЫ, КОГДА МЫ КАК ДРАЙВЕР ВЕГЕТАЦИИ</t>
      </text>
    </comment>
    <comment authorId="0" ref="C348">
      <text>
        <t xml:space="preserve">ПРИБАВКА КОГДА МЫ КАК ДРАЙВЕР ВЕГЕТАЦИИ В 2 РАЗА СЛАБЕЙ, ТО ЕСТЬ 3%</t>
      </text>
    </comment>
    <comment authorId="0" ref="C349">
      <text>
        <t xml:space="preserve">ПРИБАВКА КОГДА МЫ КАК ДРАЙВЕР ВЕГЕТАЦИИ В 2 РАЗА СЛАБЕЙ, ТО ЕСТЬ 21%</t>
      </text>
    </comment>
    <comment authorId="0" ref="A357">
      <text>
        <t xml:space="preserve">КАК ВСЕГДА В ВЕГЕТАЦИИ КОНСТЫ ДАЮТ МЕНЬШЕ. ВЕДЬ У НАС ТЕПЕРЬ СВОЕГО УРОНА НЕ ТАК МНОГО. НО ВСЁ ЖЕ ДАЖЕ В ВЕГЕТАЦИИ КОНСТЫ ОЧЕНЬ ПОЛЕЗНЫ! ОСОБЕННО С1 и С6</t>
      </text>
    </comment>
    <comment authorId="0" ref="D381">
      <text>
        <t xml:space="preserve">6,5% ОДНОМУ ЭЛЕКТРО ПЕРСОНАЖУ!
</t>
      </text>
    </comment>
    <comment authorId="0" ref="A387">
      <text>
        <t xml:space="preserve">ЕСЛИ ЛИЗА ИГРАЕТ В ФУЛЛ МС, НАПРИМЕР ЗАРЯЖЕННЫЕ ИЛИ ВЕГЕТАЦИЯ. ТО КОНСТЫ УРОНА ВООБЩЕ ПОЧТИ НЕ ДАЮТ...</t>
      </text>
    </comment>
    <comment authorId="0" ref="A393">
      <text>
        <t xml:space="preserve">У РЭЙЗОРА ЕСТЬ ФИЗ И БУТОНЫ!
ТУТ % В ФИЗЕ!
А ЗДЕСЬ Я НАПИШУ В БУТОНАХ:
С1 - 2%
С2 - 1%
С3 - 1%
С4 - 2%
С5 - 1%
С6 - 1,5%
ДА, В БУТОНАХ ПРИБАВКИ ТОЛКОМ И НЕТ...</t>
      </text>
    </comment>
    <comment authorId="0" ref="D395">
      <text>
        <t xml:space="preserve">8% ЛЮБОМУ ПЕРСОНАЖУ У КОТОРОГО ЕСТЬ СВОЙ УРОН!
УРОН БУТОНОВ НЕ РАСТЁТ!</t>
      </text>
    </comment>
    <comment authorId="0" ref="A405">
      <text>
        <t xml:space="preserve">НУ ОЧЕВИДНО ЧТО ИГРАЯ В ВЕГЕТАЦИЯ ПРИБАВКА ОТ КОНСТ БУДЕТ ЕЩЁ МЕНЬШЕ. ТАК ЧТО ИГРАЯ В ФУЛЛ МС ЛУЧШЕ НА С0. ТАК ХОТЯ БЫ НЕ ЖАЛКО СМОТРЕТЬ НА С6...</t>
      </text>
    </comment>
    <comment authorId="0" ref="A411">
      <text>
        <t xml:space="preserve">В ПРИМЕР В СТИМУЛЯЦИИ! 
ВЕДЬ В ВЕГЕТАЦИИ ОЧЕВИДНО УРОН ВООБЩЕ НЕ УВЕЛИЧИТСЯ...
БУКВАЛЬНО 3% ПРИБАВКА!</t>
      </text>
    </comment>
    <comment authorId="0" ref="D414">
      <text>
        <t xml:space="preserve">1,5к ЗА ТИК. ТИКОВ 6
ВСЕГО 9к ХИЛ СИЛЬНЕЙ</t>
      </text>
    </comment>
    <comment authorId="0" ref="D415">
      <text>
        <t xml:space="preserve">6.8к ЗА 1 УДАР ВСЕМ!
ТО ЕСТЬ 1.8к ОДНОМУ</t>
      </text>
    </comment>
    <comment authorId="0" ref="C416">
      <text>
        <t xml:space="preserve">РАБОТАЕТ ТАК ЖЕ И НА П1.</t>
      </text>
    </comment>
    <comment authorId="0" ref="D416">
      <text>
        <t xml:space="preserve">ЭТО ВТОРОМУ В ПОРЯДКЕ 14%
И ДВОИМ ПО 1%
КОРОЧЕ ТАМ СЛОЖНО! ПРОСТО РАСТЁТ УРОН У ПАЧКИ НА 17%</t>
      </text>
    </comment>
    <comment authorId="0" ref="D423">
      <text>
        <t xml:space="preserve">ПРИБАВКА ТОЛЬКО ОДНУ ЭЛЕКТРО В ПАЧКЕ!
ЕСЛИ 2 ПЕРСА ТО СУММА БУДЕТ 38%</t>
      </text>
    </comment>
    <comment authorId="0" ref="E428">
      <text>
        <t xml:space="preserve">ПЛЮС В МИРЕ ПРЯМ КЛАССНО ПЕРЕМЕЩАТЬСЯ МОЖНО!</t>
      </text>
    </comment>
    <comment authorId="0" ref="A429">
      <text>
        <t xml:space="preserve">ТУТ У КАЖДОЙ КОНСТЫ СВОЯ РОТАЦИЯ, ПОТОМУ ЧТО В КАЛЬКУЛЯТОРЕ МНОГОЕ МЕНЯЕТСЯ...
С1 - ТУТ
С2 - ТУТ
С4 - ТУТ
С6 - В ПРИМЕРЕ</t>
      </text>
    </comment>
    <comment authorId="0" ref="C429">
      <text>
        <t xml:space="preserve">13% ЭТО БЕЗ ДАБЛ! В ДАБЛ БУДЕТ В РАЗА ДВА БОЛЬШЕ ПОЛЬЗЫ!</t>
      </text>
    </comment>
    <comment authorId="0" ref="E429">
      <text>
        <t xml:space="preserve">В ДАБЛ СТИХИЮ ВЕЛИКОЙ ЧЕТВЁРКИ НУЖНО ИГРАТЬ, ИНАЧЕ БОНУС БУДЕТ НЕ БОЛЬШОЙ!
КАРОЧЕ ТУТ МНОГО НЬЮАНСОВ! ЕСЛИ ВЫ ХОТИТЕ БОЛЬШЕ УРОНА В ОДНУ ЦЕЛЬ! ТОГДА ПРОСТО ДЕЛАЙТЕ 4 ЗАРЯЖЕН. 
ЕСЛИ ЖЕ ВЫ ХОТИТЕ БОЛЬШЕ УРОНА ПО МАССОВОЙ, ТОГДА ДЕЛАЙТЕ 7 ЗАРЯЖЕН. ПО 3 ПУЛИ! ПРИМЕР РОТАЦИИ ЕСТЬ!</t>
      </text>
    </comment>
    <comment authorId="0" ref="E430">
      <text>
        <t xml:space="preserve">НУ КАК БОЛЬШЕ... ЕСЛИ НА С2 НАЧАТЬ ИГРАТЬ В ДАБЛ, ТО ТОГДА С3 СЛАБЕЙ БУДЕТ!</t>
      </text>
    </comment>
    <comment authorId="0" ref="E433">
      <text>
        <t xml:space="preserve">ПРОБЛЕМА В ТОМ, ЧТО Я НЕ МОГУ В КАЛЬКУЛЯТОРЕ СДЕЛАТЬ ДАБЛ ПИРО, ТАК КАК ТАМ С2 НЕ РАБОТАЕТ. ИЗ-ЗА ЧЕГО Я ИСПОЛЬЗУЮ ДАЛЕКО НЕ ЛУЧШУЮ ПАЧКУ ЧАСКИ. НО ДАЖЕ ТАК. ПОЛУЧИТЬ 102% ПРИБАВКИ ПРИ И ТАК УЖЕ 1кк СВОЕГО УРОНА...
ЭТО ПРОСТО БЕЗУМИЕ!</t>
      </text>
    </comment>
    <comment authorId="0" ref="A435">
      <text>
        <t xml:space="preserve">ЕСЛИ ИГРАТЬ КАК КАРМАН, ТО БУДЕТ ПРИБАВКА МЕНЬШЕ!</t>
      </text>
    </comment>
    <comment authorId="0" ref="C443">
      <text>
        <t xml:space="preserve">ЭТО ПИРО ПРИБАВКА!</t>
      </text>
    </comment>
    <comment authorId="0" ref="E443">
      <text>
        <t xml:space="preserve">ПИРО = ДАСТ В СРЕДНЕМ ОГРОМНУЮ ПРИБАВКУ, ЕСЛИ МЫ ИГРАЕМ БЕЗ БЕННЕТА! НО С БЕНОМ УЖЕ ТАКОЕ СЕБЕ...
КРИО = ДАСТ НЕ ХУЖЕ ПИРО, НО ПРИДЁТСЯ ПЕРЕБРАТЬ КРИТЫ У СКАРЫ... ЧТО НЕ ПРИЯТНО!
ЭЛЕКТРО = СУПЕР СТАБИЛЬНЫЙ УЛЬТ, ХОТЯ ПОД ФАРУЗАН И ТАК БЫЛ СТАБИЛЕН...
ГИДРО = САМЫЙ СПОРНЫЙ! Я ДУМАЮ ЭТО БОЛЬШЕ ДЛЯ МИРА, ВЕДЬ БОЮ НЕ ВЫГОДНО СТОЯТЬ ТАК ДОЛГО НА СКАРЕ. ЭФФЕКТИВНЕЙ ПОМЕНЯТЬСЯ РАНЬШЕ ВРЕМЕНИ!</t>
      </text>
    </comment>
    <comment authorId="0" ref="E445">
      <text>
        <t xml:space="preserve">НА САМОМ ДЕЛЕ ДЛИТЕЛЬНОСТЬ ЕШКИ НАМ ВООБЩЕ НЕ НАДО... ВСЕ ЭТИ БАФФ ТОЛЬКО ДЛЯ ПЕРЕМЕЩЕНИЯ. ПОЭТОМУ С6 РЕАЛИЗОВАТЬ ОЧЕНЬ СЛОЖНО ИМЕННО В БОЮ!</t>
      </text>
    </comment>
    <comment authorId="0" ref="C452">
      <text>
        <t xml:space="preserve">ПОДСЧИТАТЬ НЕВОЗМОЖНО! ВЕДЬ ПО РАЗНОМУ БЫВАЕТ! ВСЁ ЗАВИСИТ ОТ ИГРОКА!</t>
      </text>
    </comment>
    <comment authorId="0" ref="A459">
      <text>
        <t xml:space="preserve">ЕСЛИ ВЫ БУДЕТЕ ИГРАТЬ КАК САП\ХИЛ ТО УРОН НЕ БУДЕТ РАСТИ ДО С6. И ТОЛЬКО ТАМ НЕМНОГО ВЫРАСТЕТ...</t>
      </text>
    </comment>
    <comment authorId="0" ref="D460">
      <text>
        <t xml:space="preserve">ХИЛЛ СТАНЕТ НЕМНОГО ВЫШЕ!</t>
      </text>
    </comment>
    <comment authorId="0" ref="D465">
      <text>
        <t xml:space="preserve">19% ЭТО АКТИНОМУ ПЕРСОНАЖУ ОТ РЕАКЦИЙ!
НЕ ТОЛЬКО ОТ 200 МС, А 8% АФФИКСА ОТ КАЗАХА!
ЕСЛИ ВЫ БУДУТЕ БАФФАТЬ МОНО ПАЧКУ, ТО ЭТИ 200 МС НИЧЕГО НЕ ДАЮТ... НУ 8 АФФИКСА ОТ КАДЗУХИ. ВОТ!</t>
      </text>
    </comment>
    <comment authorId="0" ref="C475">
      <text>
        <t xml:space="preserve">НА САМОМ ДЕЛЕ НЕ РАБОТАЕТ НА БОССАХ, А ТОЛПУ МЫ И ТАК РВАЛИ ЧЕРЕЗ ПРЫЖКИ. ТАК ЧТО КОНСТА С РАЗРЯДА СПАСИБО КИТАЙЦАМ ЗА КРУТУЮ КОНСТУ!</t>
      </text>
    </comment>
    <comment authorId="0" ref="D477">
      <text>
        <t xml:space="preserve">БАФФ НА СКОРОСТЬ АТАКИ ПОСЧИТАТЬ НЕВОЗМОЖНО!
ВСЕ ПОЛУЧАЮТ СИЛЬНО ПО РАЗНОМУ! ПОЭТОМУ БАФФ КОНЕЧНО ПОЛЕЗНЫЙ, ТА И РАБОТАЕТ СТАБИЛЬНО. НО ВСЁ ЖЕ ТОЧНЫХ ЦИФЕР ТУТ НЕТ...</t>
      </text>
    </comment>
    <comment authorId="0" ref="D478">
      <text>
        <t xml:space="preserve">ХИЛ СТАНЕТ НЕМНОГО ЛУЧШЕ!</t>
      </text>
    </comment>
    <comment authorId="0" ref="A483">
      <text>
        <t xml:space="preserve">ЕСЛИ САХАРОК ИГРАЕТ С КАРМАНА, А НЕ КАК ДРАЙВЕР. ТО ЕЁ КОНСТЫ НЕ ТАК ХОРОШО РАССКРЫВАЮТСЯ...
В ПРИМЕРЕ САХАРОК ДРАЙВЕР!</t>
      </text>
    </comment>
    <comment authorId="0" ref="E491">
      <text>
        <t xml:space="preserve">Я КСТАТИ ТОЛЬКО ЧТО ЗАМЕТИЛ, ЧТО С2 и С4 СИЛЬНО ПОХОЖИ НА СЯО... ТАКИЕ ЖЕ КРУТЫЕ И НЕНУЖНЫЕ...</t>
      </text>
    </comment>
    <comment authorId="0" ref="D493">
      <text>
        <t xml:space="preserve">9% ЭТО ДЛЯ АНИМЕШНИКОВ!
9% И ДЛЯ ДРУГИХ СТИХИЙ, НО С ТЕНЬЮ БАФФ ОЧЕВИДНО СЛАБЕЙ. В % САМО СОБОЙ!
ЧЕСТНО ЛУЧШЕ БЫ МС ДАВАЛИ!</t>
      </text>
    </comment>
    <comment authorId="0" ref="E494">
      <text>
        <t xml:space="preserve">НО НАДО НЕ ЗАБЫВАТЬ! ЧТО РОТАЦИЯ ТОЖЕ БУДЕТ ДОЛЬШЕ! И ЕСЛИ ВЫ БУДЕТЕ НАЖИМАТЬ ЕШКУ ПОСЛЕ УЛЬТЫ. ТО ВЫ БУДЕТЕ ТЕРЯТЬ ДЛИТЕЛЬНОСТЬ БАФФА УЛЬТЫ!
ТАК ЖЕ В ОТРЫТОМ МИРЕ МЫ НАЧИНАЕМ МЕГА ДАЛЕКО И БЫСТРО ПЕРЕМЕЩАТЬСЯ!</t>
      </text>
    </comment>
    <comment authorId="0" ref="D496">
      <text>
        <t xml:space="preserve">УВЕЛИЧЕНИЕ ОБЩЕГО ХИЛЛА</t>
      </text>
    </comment>
    <comment authorId="0" ref="D497">
      <text>
        <t xml:space="preserve">УВЕЛИЧЕНИЕ ОБЩЕГО ХИЛЛА</t>
      </text>
    </comment>
    <comment authorId="0" ref="E499">
      <text>
        <t xml:space="preserve">УРОН УЛЕТАЕТ В КОСМОС. СТАНОВИТСЯ ЛУЧШИМ ПРЫГУНОМ ИГРЫ! ОНА НА С6 СИЛЬНЕЙ СЯО, И НА РАВНЕ С ВАРЕСОЙ С3, ЭТО ЛЮТАЯ ИМБА!
ЭНЕРГИЯ ЗА ЭТИ ЕШКИ НЕ ДАЁТСЯ!
2205% ПРИБАВКА!!!!!</t>
      </text>
    </comment>
    <comment authorId="0" ref="D502">
      <text>
        <t xml:space="preserve">В СРЕДНЕМ ЩИТ СТАНОВИТСЯ НА 3к ПРОЧНЕЕ</t>
      </text>
    </comment>
    <comment authorId="0" ref="D503">
      <text>
        <t xml:space="preserve">МС ДАЛЕКО НЕ ВСЕГДА ДАЁТ ПРИБАВКУ ПАЧКАМ, С КОТОРЫМИ ИГРАЕТ ЛАНЬКА.
НАПРИМЕР МОНО ПИРО!
НО ДАЖЕ В ИДЕАЛЬНЫХ ПАЧКАХ, 80 МС МНОГО НЕ ДАСТ. УРОН ВЫРАСТИТ, МАКСИМУМ НА 5% КАЖДОМУ, НАПРИМЕР В ТАЙЗЕРЕ</t>
      </text>
    </comment>
    <comment authorId="0" ref="D509">
      <text>
        <t xml:space="preserve">20Е В УЛЬТУ.
А ТАК ЖЕ ХИЛЛ\УДАР ОДНОВРЕМЕННО. ЧТО СЛОЖНО ПОДСЧИТАТЬ, НО ПРИБАВКА ТОЧНО ОЧЕНЬ ПОЛЕЗНАЯ!</t>
      </text>
    </comment>
    <comment authorId="0" ref="D510">
      <text>
        <t xml:space="preserve">ХИЛЛ РАСТЁТ НА 600 ЗА ТИК
ТИКОВ 7
ЕСЛИ ХИЛЛИТЬ СЕБЯ, ТО НА 1.2к</t>
      </text>
    </comment>
    <comment authorId="0" ref="E512">
      <text>
        <t xml:space="preserve">ТАКАЯ ЖЕ КОНСТА ЕСТЬ У ЭМБЕР И ТО БОЛЬШЕ ОТ ЕЁ ПОЛЬЗЫ, ХОТЬ ПО ФАКЕМ ПОПАТЬ ПРОЩЕ...</t>
      </text>
    </comment>
    <comment authorId="0" ref="D513">
      <text>
        <t xml:space="preserve">ОПЯТЬ В ЖЕ В МОНО АНЕМО БАФФАЕМ СЯО И ФАРУЗАН</t>
      </text>
    </comment>
    <comment authorId="0" ref="E513">
      <text>
        <t xml:space="preserve">В ЦЕЛОМ С2 ЧИСТО НАС БАФФАЕТ. ДА, МОЖНО ИНОГДА В МОНО АНЕМО ИСПОЛЬЗОВАТЬ. НО ПОКА ЧТО 12% ПОРЕЗКИ МАЛОВАТО. А ПОДБРОСИТЬ КОГО, ЭТО ЗАДАЧА СЛОЖНАЯ И РЕДКО ИСПОЛНИМА
ФИЗ ПОРЕЗКА ВООБЩЕ КРИНЖ. ЛУЧШЕ ВЗЯТЬ РОЗАРИЮ С6 В ФИЗУ И ТО БУДЕТ НАМНОГО БОЛЬШЕ ПОЛЬЗЫ.</t>
      </text>
    </comment>
    <comment authorId="0" ref="E515">
      <text>
        <t xml:space="preserve">НО ИНОГДА НЕ УСПЕВАЕМ СЛОВИТЬ ЧАСТИЦЫ ДО НАЖАТИЯ ЕШКИ. ИЗ-ЗА ЧЕГО ЕШКА БУДЕТ БЕЗ ЭТОГО БАФФА. НО ЭТО НЕ СТРАШНО! ВЕДЬ ЕШКА СОСТАВЛЯЕТ 15% ВСЕГО УРОНА ВЕНТИ. ПОЭТОМУ БЕЗ СТАБИЛЬНО ДАЁТ!</t>
      </text>
    </comment>
    <comment authorId="0" ref="E517">
      <text>
        <t xml:space="preserve">11% - ЭТО ЕСЛИ МЫ БАФФАЕТ ОДНОГО ПЕРСОНАЖА.
21% - ЕСЛИ ДВОИХ. НАПРИМЕР СЯО И ФАРУЗАН | АРЛЕКИНО И СЯНКА и тд.
САМ ПО СЕБЕ ДЕБАФФ ДЛИТЬСЯ 10 сек. И АКТИВИРУЕТСЯ ОТ КАЖДОГО АНЕМО\ПОГЛОЩЁННОГО ТИКА!
ЭТО ЗНАЧИТ УЛЬТ 8 сек. + 10 сек. = 18 сек. ДЛИТЕЛЬНОСТЬ ПОРЕЗКИ. НО! НО! НО!
С КАРМАНА ПОРЕЗКА НЕ РАБОТАЕТ, А ЗНАЧИТ ДЛИТЬСЯ ДЕБАФФ ТАК ЖЕ 10 сек. КАК И ТЕНЬ. ВОТ ТАКИЕ ДЕЛА</t>
      </text>
    </comment>
    <comment authorId="0" ref="E523">
      <text>
        <t xml:space="preserve">ТАК ЖЕ ДАЁТ ХОРОШУЮ ПРИБАВКУ В ПЕРЕМЕЩЕНИИ В МИРЕ. ЗА ЧТО БОЛЬШОЙ РЕСПЕКТ!
КАЖДЫЙ ВЫСТРЕЛ С6 ТАК ЖЕ ХИЛЛИТ КАК И ОБЫЧНЫЕ ПУЛИ! ПО 300 ХП</t>
      </text>
    </comment>
    <comment authorId="0" ref="D526">
      <text>
        <t xml:space="preserve">15к ХИЛА ОТ УЛЬТЫ ДОПОМ</t>
      </text>
    </comment>
    <comment authorId="0" ref="D530">
      <text>
        <t xml:space="preserve">ЭТО СИЛА СТОЙКОСТИ ОТ С1
СТОЛЬКО ЖЕ ДАЁТ БЭЙ ДОУ С УЛЬТЫ</t>
      </text>
    </comment>
    <comment authorId="0" ref="E530">
      <text>
        <t xml:space="preserve">ПО ФАКТУ НАМ ЧТО УВЕЛИЧЕНИЯ ДЛИТЕЛЬНОСТИ ДД СТОЙКИ НЕ НАДО. 
ЧТО ДОПОЛНИТЕЛЬНАЯ НЕПРЕРЫВАЕМОСТЬ ТОЖЕ НЕ МНОГО ДАЁТ. НО В ЦЕЛОМ!
СТОЙКОСТЬ НА РАВНЕ СО ЩИТОМ БЭЙ ДОУ!</t>
      </text>
    </comment>
    <comment authorId="0" ref="A531">
      <text>
        <t xml:space="preserve">В КАЛЬКУЛЯТОРЕ НОРМАЛЬНО НЕ  ПОСЧИТАЕШЬ С6, ПОЭТОМУ СМОТРИТЕ НА ПРИБАВКУ ТУТ В %
ТУТ БУДЕТ ВИДНЕЙ!
В КАЛЬКУЛЯТОРЕ НАМ ВСЕ УДАРЫ УСИЛЯЮТ. ХОТЯ ЭТО НЕ ТАК!</t>
      </text>
    </comment>
    <comment authorId="0" ref="D531">
      <text>
        <t xml:space="preserve">ПРИБАВКЕ СЕБЕ В РАСЧЁТ НЕ ИДЁТ!</t>
      </text>
    </comment>
    <comment authorId="0" ref="E531">
      <text>
        <t xml:space="preserve">НА САМОМ ДЕЛЕ % ИЗМЕРИТЬ НЕВОЗМОЖНО! ВСЁ ИЗ-ЗА ЭЛЕКТРО БАФФА. ГДЕ КД И ЭНЕРГИЯ. КОРОЧЕ ЗНАЙТЕ. 25% ЭТО ЕСЛИ ВЫ БУДЕТЕ ИГРАТЬ С ЭЛЕКТРО ЧЕЛАМИ + ОДИН ЛЮБОЙ ДД ДРУГОЙ СТИХИИ(НЕ АНЕМО!)
50% - ЭТО ЕСЛИ ИГРАТЬ С ТИОРИ+ЕЛАНЬ. ЭТО СТОЛЬКО ПРИБАВКИ ОНИ ДВОЕ ПОЛУЧАТ. + КАКОЙ-ТО САППОРТИК ПО ТИПУ ГОРО, ОТ ЭТОГО ТОЖЕ ВЫИГРАЕТ. КОРОЧЕ... ИМБА ДИКАЯ!</t>
      </text>
    </comment>
    <comment authorId="0" ref="E532">
      <text>
        <t xml:space="preserve">ВАЖНО ПОМНИТЬ, ЧТО МЫ НЕ ВСЕ СТИХИИ РЕЖЕМ!</t>
      </text>
    </comment>
    <comment authorId="0" ref="E533">
      <text>
        <t xml:space="preserve">БАФФ КАЖДОМУ ДАЁТ 6 СТАКОВ. КОТОРЫЕ ДАЮТ ПРИМЕРНО 40-50к ПРИБАВКИ. ЕСЛИ ПРЯМ ПОЛНОСТЬЮ ТРАТИТЬ СТАКИ. 
НО ДАЛЕКО НЕ ВСЕГДА ПОЛУЧАЕТСЯ ТЕМИ ЖЕ САПАМИ СДЕЛАТЬ ХОТЯ БЫ БОЛЬШЕ 1 УДАРА. КОРОЧЕ ПРИБАВКА ИНТРЕСНАЯ, НО СЛОЖНО РЕАЛИЗУЕМА</t>
      </text>
    </comment>
    <comment authorId="0" ref="D534">
      <text>
        <t xml:space="preserve">ХИЛЛ СТАНЕТ СУММАРНО ДАВАТЬ НА 10к БОЛЬШЕ</t>
      </text>
    </comment>
    <comment authorId="0" ref="D535">
      <text>
        <t xml:space="preserve">МАССОВЫЙ ХИЛЛ КАЖДОМУ ПО 3.5к ТРИ РАЗА. ОДИН РАЗ В 15 сек.</t>
      </text>
    </comment>
    <comment authorId="0" ref="E535">
      <text>
        <t xml:space="preserve">ПО ФАКТУ БЕСКОНЕЧНО ПЕРЕМЕЩАЕМСЯ 5 СЕКУНД.
МАССОВЫХ ХИЛЛ ПО 3.5к КАЖДОМУ 3 РАЗА. НУ НЕ ИМБА? ПОД ФУРИНУ САМОЕ ТО! ПРИ ЧЁМ ХИЛЛ РАБОТАЕТ И В ДД СТОЙКЕ
НУ И ПРИБАВКА К УРОНУ. В ДД СТОЙКЕ ВЫ И ТАК ВИДИТЕ 65% ПРИБАВКИ, ЧТО УЖЕ МНОГО. НО ДАЖЕ ЕСЛИ ВЫ БУДЕТЕ ИГРАТЬ КАК САП. ТО ВСЁ РАВНО ДВА УДАРА БУДУТ ОЧЕНЬ СИЛЬНЫЕ.</t>
      </text>
    </comment>
    <comment authorId="0" ref="E537">
      <text>
        <t xml:space="preserve">НЕ ЗАБЫВАЙТЕ, ЧТО НА С4 УЛЬТА АКТИВИРУЕТ ПОРЕЗКУ, ПРИГОЖДАЕТСЯ, КОГДА ЗАБЫЛИ НАЖАТЬ УЛЬТУ!</t>
      </text>
    </comment>
    <comment authorId="0" ref="E539">
      <text>
        <t xml:space="preserve">ПАССИВКА СЕБЯ КРУТО ПОКАЗЫВАЕТ, ТОЛЬКО ВМЕСТЕ С ТИОРИ И ТО ПОЛУЧАЕТСЯ С1...</t>
      </text>
    </comment>
    <comment authorId="0" ref="E541">
      <text>
        <t xml:space="preserve">Я ТАК ПОНИМАЮ, ЭТА КОНСТА ЗАТОЧЕНА КАК РАЗ НА ТО ЧТО МЫ ПРЯМ РЕАЛЬНО ГЕО САП ДД!
А ЧЕГО? С4 РЕЖЕТ, ЕШКИ ВЫДАЛ БЫСТРО, УЛЬТ ОБНОВИЛ!</t>
      </text>
    </comment>
    <comment authorId="0" ref="E542">
      <text>
        <t xml:space="preserve">НА САМОМ ДЕЛЕ НЕ ТАК МНОГО ПАЧЕК ДАЁТ...
ВЕДЬ И НА БАЗОВОМ УРОВНЕ САППОРТОВ ПОД ЁЁ ХВАТАЕТ</t>
      </text>
    </comment>
    <comment authorId="0" ref="C547">
      <text>
        <t xml:space="preserve">45% ЭТО ПРИБАВКА ВСЕГО ОДНОЙ СЕРИИ УДАРОВ 3 по 2
ТО ЕСТЬ 3 УДАРА ДЭШ 3 УДАРА.
А ДАЛЬШЕ МЫ ПРОСТО ПЕРЕКЛЮЧАЕМСЯ ОПЯТЬ ЕШКОЙ И ДАМАЖИМ ЖОСКО С КАРМАНА.
ОСТАЛЬНЫЕ 40% ЭТО ПРОДЛЕНИЕ КАРМАНА!</t>
      </text>
    </comment>
    <comment authorId="0" ref="E547">
      <text>
        <t xml:space="preserve">ИЗ-ЗА КД В 12 сек. ЕШКИ, ОНА БУКВАЛЬНО МОЖЕТ ВЕЧНО СТОЯТ НА ПОЛЕ БОЯ И БИТЬ. 
И КОГДА ТАМ ПЕРЕКЛЮЧИТЬСЯ НА ДРУГИХ ПЕРСОНАЖЕЙ, РЕШАТЬ ТОЛЬКО ТЕБЕ</t>
      </text>
    </comment>
    <comment authorId="0" ref="D551">
      <text>
        <t xml:space="preserve">ДАЁТ 3% ОДНОМУ ПЕРСОНАЖУ ОТ ЗАЩИТЫ!</t>
      </text>
    </comment>
    <comment authorId="0" ref="D555">
      <text>
        <t xml:space="preserve">1,5% ПРИБАВКИ ДД НАШЕМУ</t>
      </text>
    </comment>
    <comment authorId="0" ref="D557">
      <text>
        <t xml:space="preserve">РАСТЁТ НАША ЗАЩИТЫ, РАСТЁТ И БАФФ С УЛЬТЫ!
1,5% ПРИБАВКИ ДД НАШЕМУ</t>
      </text>
    </comment>
    <comment authorId="0" ref="D558">
      <text>
        <t xml:space="preserve">1,5% ПРИБАВКИ ДД НАШЕМУ</t>
      </text>
    </comment>
    <comment authorId="0" ref="D559">
      <text>
        <t xml:space="preserve">СКОРОСТЬ АТАКИ ВСЕМ ДАЁТ ПО РАЗНОМУ. КОМУ-ТО МНОГО. КОМУ-ТО КОПЕЙКИ.
КАК ПОВЕЗЁТ!</t>
      </text>
    </comment>
    <comment authorId="0" ref="D565">
      <text>
        <t xml:space="preserve">10% ЭТО ПРИБАВКА ОДНОМУ ГЕО ПЕРСОНАЖУ!</t>
      </text>
    </comment>
    <comment authorId="0" ref="C566">
      <text>
        <t xml:space="preserve">АБСОЛЮТНО У ВСЕХ ПОКАЗЫВАЕТ РАЗНУЮ ПОЛЬЗУ. ОПЯТЬ ЖЕ ЗАВИСИТ ОТ ИГРОКА!</t>
      </text>
    </comment>
    <comment authorId="0" ref="D569">
      <text>
        <t xml:space="preserve">В СРЕДНЕМ БАФФАЕТ НА 7% КАЖДОГО, КОМУ НУЖНЫ СА И ЗЩ. НО ОПЯТЬ ЖЕ ДЛИТЬСЯ НЕ ВЕЧНО И РАБОТАЕТ, ТОЛЬКО НА 2ю РОТАЦИЮ!</t>
      </text>
    </comment>
    <comment authorId="0" ref="D575">
      <text>
        <t xml:space="preserve">БАФФ АКТИВНОГО ПРЫГУНА</t>
      </text>
    </comment>
    <comment authorId="0" ref="D577">
      <text>
        <t xml:space="preserve">ВЕРИМ ЧТО БАФФ СТАБИЛЬНЫЙ!
ЗАФИКСИРОВАТЬ ЕГО НЕВОЗМОЖНО! СНЕП-ШОТОМ НАПРИМЕР!
КОРОЧЕ БАФФ 1 ПЕРСА ЗАЧАСТУЮ...</t>
      </text>
    </comment>
    <comment authorId="0" ref="D580">
      <text>
        <t xml:space="preserve">ЩИТ КРЕПЧЕ НА 2.2к</t>
      </text>
    </comment>
    <comment authorId="0" ref="D592">
      <text>
        <t xml:space="preserve">ЩИТ СИЛЬНЕЙ НА 1,5к</t>
      </text>
    </comment>
    <comment authorId="0" ref="D596">
      <text>
        <t xml:space="preserve">ЛЮБОЙ ДД ПОЛУЧАЕТСЯ 8% ПРИБАВКИ</t>
      </text>
    </comment>
    <comment authorId="0" ref="D603">
      <text>
        <t xml:space="preserve">ОДНОМУ ДЕНДРО ПЕРСОНАЖУ.
В ТРИПЛ ДЕНДРО МЫ НЕ ИГРАЕМ!
С ДРЕМУЧКОЙ ПРИБАВКА БУДЕТ 13%
БЕЗ ДРЕМУЧКИ 22%</t>
      </text>
    </comment>
    <comment authorId="0" ref="E603">
      <text>
        <t xml:space="preserve">НО! НЕ ЗАБЫВАЕМ ПРО ТО, ЧТО ЕСЛИ У ВАС УЖЕ ЕСТЬ ДРЕМУЧИЙ ЛЕС(ДЕНДРО СЕТ), ТО ПОРЕЗКА БУДЕТ РАБОТАТЬ ХУЖЕ!
ТАК ЧТО 36% - 22% ЭТО ГРУБО ГОВОРЯ В ПИКЕ! ТАК ТО КОНЕЧНО БУДЕТ ДАВАТЬ НА 5% МЕНЬШЕ СЕБЕ И ЭМИ НАПРИМЕР НА 9% МЕНЬШЕ!</t>
      </text>
    </comment>
    <comment authorId="0" ref="E608">
      <text>
        <t xml:space="preserve">НА САМОМ ДЕЛЕ ПРО С1 МОЖНО ГОВОРИТЬ ОЧЕНЬ ДОЛГО!
1.ТЕПЕРЬ НАЖИМАТЬ УЛЬТУ НЕ ВЫГОДНО ДО С4
2.ПУШКА НАЧИНАЕТ В 2 РАЗА ЧАЩЕ СТРЕЛЯТЬ
3. ИГРАТЬ В ЦВЕТЕНИЕ СТАЛО ПРОЩЕ
КОРОЧЕ ОДНИ ПЛЮСЫ!
МОГУ СПОКОЙНО НАЗВАТЬ КОНСТУ КЛЮЧЕВОЙ!
ЛУЧШЕ СИГНЫ 100%</t>
      </text>
    </comment>
    <comment authorId="0" ref="C609">
      <text>
        <t xml:space="preserve">30% БЕЗ ДРЕМУЧКА
18,5% С ДРЕМУЧКОЙ</t>
      </text>
    </comment>
    <comment authorId="0" ref="D609">
      <text>
        <t xml:space="preserve">22% БЕЗ ДРЕМУЧКИ!
13% ЭТО УЖЕ С ДРЕМУЧКОЙ!</t>
      </text>
    </comment>
    <comment authorId="0" ref="E611">
      <text>
        <t xml:space="preserve">ПОЭТОМУ 31% ЭТО ПРИ ЛУЧШИХ РАССКЛАДАХ! ТАК-ТО МОЖЕТ И МЕНЬШЕ БЫТЬ!</t>
      </text>
    </comment>
    <comment authorId="0" ref="E613">
      <text>
        <t xml:space="preserve">НЕ ЗАБЫВАЕМ ЧТО КОЛИЧЕСТВО УДАРОВ ПУШКИ РАСТЁТ!</t>
      </text>
    </comment>
    <comment authorId="0" ref="D622">
      <text>
        <t xml:space="preserve">ЩИТ КРЕПЧЕ НА 3к</t>
      </text>
    </comment>
    <comment authorId="0" ref="D625">
      <text>
        <t xml:space="preserve">УРОН ПЕРСОНАЖЕЙ ОТ СВОЕГО УРОНА РАСТЁТ НА 5%
ЕСЛИ САП ИЛИ ФУЛЛ МС ПЕРСОНАЖ. ТО ДАЖЕ 1% ПРИБАВКИ НЕ БУДЕТ...</t>
      </text>
    </comment>
    <comment authorId="0" ref="D626">
      <text>
        <t xml:space="preserve">9к ХИЛ ОДНОМУ
ВСЕГО 36к ВСЕМ</t>
      </text>
    </comment>
    <comment authorId="0" ref="A627">
      <text>
        <t xml:space="preserve">В ПРОЦЕНТАХ КАК ВСЕГДА УРОН У САПА РАСТЁТ СИЛЬНО! ВЕДЬ ОН НЕ ДАМАЖИЛ, А ТЕПЕРЬ БОЛЬШЕ УРОНА СТАЛО, НО...
УРОНА ВСЁ РАВНО НЕТ!</t>
      </text>
    </comment>
    <comment authorId="0" ref="D627">
      <text>
        <t xml:space="preserve">ХИЛ ТАМ КОНЕЧНО НЕ БОЛЬШОЙ!
2к ЗА ТИК</t>
      </text>
    </comment>
    <comment authorId="0" ref="E627">
      <text>
        <t xml:space="preserve">НО АКТИВАЦИЯ РАЗ В 5 сек. ПОЭТОМУ НЕ ОЧЕНЬ КОНЕЧНО...</t>
      </text>
    </comment>
    <comment authorId="0" ref="D628">
      <text>
        <t xml:space="preserve">1,2к ДОП ХИЛЛ В УЛЬТ ЗА ТИК
7,2к ХИЛА ВСЕГО АКТИВНОМУ
ТАМ ЕЩЁ ЩИТ ЕСТЬ! ВОТ!
НО... ТАМ ПРОЧНОСТЬ НАСТОЛЬКО МАЛЕНЬКАЯ, ЧТО НЕ ЧУСТВУЕШЬ БАФФ...</t>
      </text>
    </comment>
    <comment authorId="0" ref="D629">
      <text>
        <t xml:space="preserve">8% ДЛЯ НАХИДЫ И ХАЙТАМА!
ДЛЯ ОБЫЧНЫХ ПЕРСОНАЖЕЙ 4% ПРИБАВКИ ПРИМЕРНО!
КАЖДОМУ!</t>
      </text>
    </comment>
    <comment authorId="0" ref="D630">
      <text>
        <t xml:space="preserve">2к ХИЛА + К ЕШКЕ
ТЕПЕРЬ 8к ВСЕМ
ВСЕГО 16к ВЕДЬ ДВЕ ЕШКИ</t>
      </text>
    </comment>
    <comment authorId="0" ref="D641">
      <text>
        <t xml:space="preserve">9% ДЛЯ НАХИДЫ!
ДЛЯ ОБЫЧНЫХ ПЕРСОНАЖЕЙ 5% ПРИБАВКИ ПРИМЕРНО!
НО ДО С6 РАБОТАЕТ БАФФ НЕ СРАЗУ. А НА С6 СЧИТАЙ С НУЛЕВОЙ ПОЧТИ...</t>
      </text>
    </comment>
    <comment authorId="0" ref="E643">
      <text>
        <t xml:space="preserve">ПРОСТО ВЫЙТИ ПОЛУЧИТЬ 3 ЗЕРКАЛА, СДЕЛАТЬ УДАР ВЫКИНУТЬ УЛЬТ! ТАК БУДЕТ МАКСИМАЛЬНО СИЛЬНО!</t>
      </text>
    </comment>
    <comment authorId="0" ref="E644">
      <text>
        <t xml:space="preserve">НУ И КУПОЛ ТЕПЕРЬ ВЕЧНО БУДЕТ СТОЯТЬ ПО ИДЕЕ!</t>
      </text>
    </comment>
    <comment authorId="0" ref="D645">
      <text>
        <t xml:space="preserve">В СРЕДНЕМ КАЖДЫЙ ПЕРСОНАЖ ПОЛУЧАЕТ 18% ПРИБАВКУ!
НАПРИМЕР СИНОБУ ТОЖЕ ПОЛУЧИТ ПРИМЕРНО 18,5% ПРИБАВКИ!
КОРОЧЕ ИМБА!</t>
      </text>
    </comment>
    <comment authorId="0" ref="D653">
      <text>
        <t xml:space="preserve">6% ДЛЯ НАХИДЫ И ХАЙТАМА!
ДЛЯ ОБЫЧНЫХ ПЕРСОНАЖЕЙ 3% ПРИБАВКИ ПРИМЕРНО!
КАЖДОМУ!</t>
      </text>
    </comment>
    <comment authorId="0" ref="D659">
      <text>
        <t xml:space="preserve">В СРЕДНЕМ ДАЁТ 12% КАЖДОМУ ПЕРСОНАЖУ В ПАЧКЕ, КОМУ МС ПОЛЕЗЕН!
НАПРИМЕР ФИШЛЬ ИЛИ ЯЭ МИКО</t>
      </text>
    </comment>
    <comment authorId="0" ref="E661">
      <text>
        <t xml:space="preserve">ПЕРЕЗАРЯДКА ВЫСТРЕЛА ПОЗВОЛЯЕТ ИГРАТЬ ПО РАЗНОМУ. НЕ ТОЛЬКО ПО СТАНДАРТУ.
ТО ЕСТЬ ДАЖЕ ПРОСТО СТОЯТЬ И СТРЕЛЯТЬ</t>
      </text>
    </comment>
    <comment authorId="0" ref="D667">
      <text>
        <t xml:space="preserve">6% ОДНОМУ ПЕРСОНАЖУ!
ЛЮБОЙ ПОДХОДЯЩЕЙ СТИХИИ!</t>
      </text>
    </comment>
    <comment authorId="0" ref="D669">
      <text>
        <t xml:space="preserve">12-20% ЭТО ПРИБАВКА УРОНА ДЛЯ ОДНОГО СОЗДАТЕЛЯ БУТОНОВ! ВСЁ СИЛЬНО ЗАВИСИТ СКОЛЬКО БУТОВ ОН СОЗДАЁТ!
А ТАК ЖЕ ТАМ ЕСТЬ БАФФ ЛУН. БУТОН НА 40%, НО ЧТО БЫ ПОЛУЧИТЬ ПОЛЬЗУ ОТ ЕГО. НАДО НЕФЕРПИТО! БЕЗ ЕЁ ТОЛКУ МАЛО...</t>
      </text>
    </comment>
    <comment authorId="0" ref="D670">
      <text>
        <t xml:space="preserve">2-4% ЭТО ОПЯТЬ ОДНОМУ ПЕРСОНАЖУ!</t>
      </text>
    </comment>
    <comment authorId="0" ref="C673">
      <text>
        <t xml:space="preserve">70% ЭТО МЫ С КАРМА ТОЛЬКО ТАМ РАЗГОНЯЕМСЯ.
А ЕСЛИ СТОЯТЬ И БИТЬ. ТО ТАМ МОЖНО И ЗА 200% ОБЩЕЙ ПРИБАВКИ ПЕРЕБИТЬ!</t>
      </text>
    </comment>
    <comment authorId="0" ref="D673">
      <text>
        <t xml:space="preserve">25% ЛУН. БУТОН БАФФ. НО ТОЛЬКО ПРИ ВТОРОМ НОДЕ.
КОРОЧЕ НЕФЕРКЕ КРУТОЙ БАФФ! НУ И НАМ НА С6 ТОЖЕ МНОГО ДАЁТ!</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☢️МИНИМУМ СТАТА!☢️
НИЖЕ ПОКАЗАТЕЛЬ УЖЕ СЛАБОВАТО, ДОБИРАЙ ДО МИНИМУМА!
ОРУЖИЕ \ ЛИЧНЫЕ БАФФЫ \ РЕЗОНАНСЫ ТОЖЕ СЧИТАЮТСЯ!
НИКАКИХ ВНЕШНИХ БАФФОВ!</t>
      </text>
    </comment>
    <comment authorId="0" ref="D1">
      <text>
        <t xml:space="preserve">☢️МАКСИМУМ СТАТА!☢️
ЕСЛИ ДОСТИГНУЛ ЕГО, ТО СТОИТ СДЕЛАТЬ УПОР НА НОВЫЙ СТАТ!
⛔️НЕ ОБЬЯЗАТЕЛЬНО СОБИРАТЬ ПЕРСОНАЖА ПО ВСЕМ ЛИМИТАМ. 
ГЛАВНОЕ ЭТО МИНИМАЛЬНУЮ ПЛАНКУ НАБРАТЬ!!!⛔️
ОРУЖИЕ \ ЛИЧНЫЕ БАФФЫ \ РЕЗОНАНСЫ ТОЖЕ СЧИТАЮТСЯ!
НИКАКИХ ВНЕШНИХ БАФФОВ!</t>
      </text>
    </comment>
    <comment authorId="0" ref="E1">
      <text>
        <t xml:space="preserve">☢️ ПРОСТО ПРИМЕЧАНИЯ☢️ 
КОММЕНТАРИЙ ОТ АВТОРА, ЧТО БЫ ЛУЧШЕ ПОНЯТЬ ЛИМИТЫ
⛔️ПОЯСНЕНИЕ!⛔️
СА - СИЛА АТАКА
КМ - КРИТ. МАССА
П1 \ П2 - ПАССИВКИ
☘️💧⚡️  - ВЕГЕТАЦИЯ
☘️💧🔥  - ЦВЕТЕНИЕ
☘️💧 - БУТОНЫ
☘️⚡️ - СТИМУЛЯЦИЯ
🔥☘️ - ГОРЕНИЕ
🔥❄️ - ТАЯНИЕ
🔥💧 - ПАР
💎 - КРИСТАЛИЗАЦИЯ
💨 - РАССЕИВАНИЕ
💧⚡️ - ЗАРЯЖЕННЫЕ
🔥⚡️ - ПЕРЕГРУЗКА
❄️⚡️ - СВЕРХ-ПРОВОДНИК
💧❄️🔨 - РАЗБИТЫ
💧❄️ - ЗАМОРОЗКА</t>
      </text>
    </comment>
    <comment authorId="0" ref="E40">
      <text>
        <t xml:space="preserve">ЕСЛИ ВЫ РЕШИТЕ СОБИРАТЬ СИТЛАЛИ В СВОЙ УРОН, ТО ЕСТЬ КРИО\ШК. 
У ВАС КОНЕЧНО УРОН СТАНЕТ БОЛЬШЕ, НО ВЫ ПОТЕРЯЕТЕ И ТАК НЕ КРЕПКИЙ ЩИТ. КОРОЧЕ ЛУЧШЕ ФУЛЛ МС, ТАК БУДЕТ ЛУЧШЕ!</t>
      </text>
    </comment>
    <comment authorId="0" ref="E41">
      <text>
        <t xml:space="preserve">ИЗ-ЗА ТОГО ЧТО У СИТЛАЛИ МНОГО ИСТОЧНИКОВ ЭНЕРГИИ, ЕЙ НЕ ВСЕГДА ОБЬЯЗАТЕЛЬНО СОБИРАТЬ ВЭ.
НО СОБИРАТЬ НАМ ОСОБО НИЧЕГО, ТЕМ БОЛЕЕ С СИГНОЙ ТОЧНО ПРИГОДТСЯ.
КОРОЧЕ НАБИРАЙТЕ 160%, ЛИШНИМ НЕ БУДЕТ</t>
      </text>
    </comment>
    <comment authorId="0" ref="E45">
      <text>
        <t xml:space="preserve">ИГРАЯ С ФУРИНОЙ МОЖНО ПОСТАВИТЬ ОХОТНИКА И КРИТ НАБРАТЬ БУДЕТ ВООБЩЕ НЕ ПРОБЛЕМА!
НО ТОЛЬКО У ВАС НЕ ПОЛУЧИТСЯ СА НОРМАЛЬНО НАБРАТЬ. КОРОЧЕ ВЕЗДЕ НАДО БАЛАНС</t>
      </text>
    </comment>
    <comment authorId="0" ref="E48">
      <text>
        <t xml:space="preserve">ЕСЛИ ЖЕ ВСЁ ТАКИ УЛЬТ НАДО, ТО МОЖЕТЕ 125% НАБИРАТЬ, В ЦЕЛОМ ДОЛЖНО ХВАТИТЬ!</t>
      </text>
    </comment>
    <comment authorId="0" ref="E57">
      <text>
        <t xml:space="preserve">А МОЛЛЮСК ЭТО НАШ ВЕСЬ УРОН!
ДА, МОЖНО ИСПОЛЬЗОВАТЬСЯ ВРЕМЕНА, КОТОРЫЕ УЖЕ ОТ ХИЛЛА НЕ ТАК ЗАВИСЯТ. НО НАМ ТАК-ТО И СОБИРАТЬ НИЧЕГО...</t>
      </text>
    </comment>
    <comment authorId="0" ref="E76">
      <text>
        <t xml:space="preserve">МНОГИЕ ИГРАЮТ С ЭМБЛЕМОЙ, И ТАМ В ЦЕЛОМ 150% ДОЛЖНО ХВАТАТИТЬ, ВЕДЬ ЭТО 40% УРОНА В УЛЬТ. ЧТО НЕ ПЛОХО!
ЛУЧШЕ СТАБИЛЬНЫЙ УЛЬТ, ЧЕМ 1 РАЗ В МИНУТУ</t>
      </text>
    </comment>
    <comment authorId="0" ref="D84">
      <text>
        <t xml:space="preserve">60% ОТ ЕШКИ НЕ СЧИТАЕМ!</t>
      </text>
    </comment>
    <comment authorId="0" ref="E111">
      <text>
        <t xml:space="preserve">НО ВЭ НАБИРАЕТСЯ У КЭЙИ СЛИШКОМ ЛЕГКО, ПОЭТОМУ КАК ЕСТЬ</t>
      </text>
    </comment>
    <comment authorId="0" ref="D113">
      <text>
        <t xml:space="preserve">БЫВАЕТ 21к С ОМУТОМ</t>
      </text>
    </comment>
    <comment authorId="0" ref="E114">
      <text>
        <t xml:space="preserve">УРОНА ТАМ ПОНЯТНОЕ ДЕЛО НЕТ! ПРОСТО МОЖНО ПРЫГАТЬ С ЦАПЛЕЙ...</t>
      </text>
    </comment>
    <comment authorId="0" ref="E125">
      <text>
        <t xml:space="preserve">УЛЬТА КРИО РЕЗ. НЕ РЕЖЕТ! 
КД НЕ ДАЁТ! 
СКР. АТК. ТОЖЕ...</t>
      </text>
    </comment>
    <comment authorId="0" ref="E166">
      <text>
        <t xml:space="preserve">РАДИ ПАРА СОБИРАТЬ МС НЕ СТОИТ!</t>
      </text>
    </comment>
    <comment authorId="0" ref="E167">
      <text>
        <t xml:space="preserve">ТАК-ТО В СРЕДНЕМ НАДО ДО ЛИМИТЫ ДОБИВАТЬ!</t>
      </text>
    </comment>
    <comment authorId="0" ref="E174">
      <text>
        <t xml:space="preserve">А УЧИТЫВАЯ, ЧТО ОН ЕШКУ ДВА РАЗА ЖМЁТ! ТО ВООБЩЕ ЛЕГКО УЛЬТ НАБРАТЬ</t>
      </text>
    </comment>
    <comment authorId="0" ref="E177">
      <text>
        <t xml:space="preserve">ШК МОЖНО НАБРАТЬ С ОХОТНИКА И ДАЖЕ БЕЗ ФУРИНЫ!</t>
      </text>
    </comment>
    <comment authorId="0" ref="E184">
      <text>
        <t xml:space="preserve">НА С6 МЫ КСТАТИ ТАК ЖЕ В ФУЛЛ ХП СОБИРАЕМСЯ!</t>
      </text>
    </comment>
    <comment authorId="0" ref="E195">
      <text>
        <t xml:space="preserve">В ДАБЛ ГИДРО И ПРИ ДАБЛ ЕШКЕ, МОЖНО И ПРИ 160% ВСЁ НАЖАТЬ</t>
      </text>
    </comment>
    <comment authorId="0" ref="E208">
      <text>
        <t xml:space="preserve">НА САМОМ ДЕЛЕ НЕ ТАК МНОГО ОН И ПАРИТ. ПОЭТОМУ МС НЕ ВСЕГДА СЕБЯ ОКУПАЕТ... ПРОЩЕ В СА УПОРОТЬСЯ</t>
      </text>
    </comment>
    <comment authorId="0" ref="E222">
      <text>
        <t xml:space="preserve">200 - В 💧⚡️
ОСТАЛЬНЫЕ РЕАКЦИИ МС НЕ ТРЕБУЮТ!</t>
      </text>
    </comment>
    <comment authorId="0" ref="D225">
      <text>
        <t xml:space="preserve">20к С ОМУТОМ!</t>
      </text>
    </comment>
    <comment authorId="0" ref="E249">
      <text>
        <t xml:space="preserve">ЕСЛИ СА ОЧЕНЬ МНОГО, ТО ДАЖЕ КОГДА НОЧНОГО ДУХА МЕНЬШЕ 42. 
ТО ВСЁ РАВНО МЫ БУДЕМ ДОСТИГАТЬ ЛИМИТА</t>
      </text>
    </comment>
    <comment authorId="0" ref="E251">
      <text>
        <t xml:space="preserve">ЗА СЧЁТ СЕТА + СТИХИИ У НАС НАБИРАЕТСЯ УЛЬТА НАМНОГО ПРОЩЕ ЧЕМ У ДРУГИХ. НО Я БЫ ВСЁ РАВНО НЕ ДОВЕРЯЛСЯ ЭТОМУ! И НАБИРАЛ БЫ 220%</t>
      </text>
    </comment>
    <comment authorId="0" ref="E257">
      <text>
        <t xml:space="preserve">СВОЙ УРОН ПЕРЕБИВАЕТ БУТОНЫ, ПОЭТОМУ НЕ 1000 МС</t>
      </text>
    </comment>
    <comment authorId="0" ref="E263">
      <text>
        <t xml:space="preserve">2200 СА - НАБРАТЬ ДОСТАТОЧНО СЛОЖНО! НО ВОЗМОЖНО!
2200 - ЭТО БЕЗ БАФФОВ БЕННЕТА И ВНЕШНИХ ЦЕРЕМОНИЙ\МИЛЛ.</t>
      </text>
    </comment>
    <comment authorId="0" ref="E265">
      <text>
        <t xml:space="preserve">НА САМОМ ДЕЛЕ БЭЙ ДОУ НИЧЕГО НЕ ПОМОГАЕТ. НИ ФАВОНИЙ, НИ ЭМБЛЕМА, НА ЧАСЫ НА ВЭ, НИ ДАБЛ ЭЛЕКТРО. ЧТО БЫ НАЖИМАТЬ СТАБИЛЬНО УЛЬТ, НАДО МЕГА СИЛЬНО ПОТЕТЬ! НАЖИМАТЬ ЕШКУ ПО КД, ЖЕЛАТЕЛЬНО ПАРИРУЯ И ИМЕТЬ ТОННЫ ВЭ. ПОЭТОМУ ВАМ КАК 180% ТАК 250% ВЭ МОЖЕТ НЕ ХВАТАТЬ! ДЕРЖУ В КУРСЕ!</t>
      </text>
    </comment>
    <comment authorId="0" ref="E272">
      <text>
        <t xml:space="preserve">ПРОСТО МЫ ОЧЕНЬ ЧАСТО ИГРАЕМ С ОРУЖИЕ НА ВЭ, ПОЭТОМУ ВСЕГДА НАБИРАЕМ 160-180% НЕ ДУМАЯ...</t>
      </text>
    </comment>
    <comment authorId="0" ref="E285">
      <text>
        <t xml:space="preserve">МС МЫ СОБИРАЕМ НЕ ДЛЯ РЕАКЦИЙ, А РАДИ П2.
ЛЮБАЯ ЕДИНИЦА МС СЕБЯ ОКУПАЕТ! НО И УПАРИВАТЬСЯ В ЕЁ НЕ СТОИТ ПРЯМ!</t>
      </text>
    </comment>
    <comment authorId="0" ref="D286">
      <text>
        <t xml:space="preserve">ЭТО В МНОГО ЭЛЕКТРО.
ТО ЕСТЬ 3 ЭЛЕКТРО, ШИЛО С ФАВОНИЕМ, НУ И ЖЕЛАТЕЛЬНО С1 ИЛИ РАЙДЭН КАК ДД
И ТОГДА ЕСТЬ ШАНС ПОЛУЧИТЬ УЛЬТ РАЗ В РОТАЦИЮ</t>
      </text>
    </comment>
    <comment authorId="0" ref="E306">
      <text>
        <t xml:space="preserve">СВОЙ УРОН ПЕРЕБИВАЕТ БУТОНЫ, ПОЭТОМУ НЕ 1000 МС</t>
      </text>
    </comment>
    <comment authorId="0" ref="E313">
      <text>
        <t xml:space="preserve">В ☘️💧⚡️ 250 ДОБЕРЁМ ОТ НАХИДЫ!</t>
      </text>
    </comment>
    <comment authorId="0" ref="E333">
      <text>
        <t xml:space="preserve">870 - ПИК БАЗОВОЙ
803 - ЭЛИГИЯ
650 - ЭТО ФАВОНИЙ (ИСКЛЮЧЕНИЕ!)</t>
      </text>
    </comment>
    <comment authorId="0" ref="E348">
      <text>
        <t xml:space="preserve">СВОЙ УРОН МАЛ, ПОЭТОМУ СОБИРАТЬСЯ В ФУЛЛ МС СТОИТ!</t>
      </text>
    </comment>
    <comment authorId="0" ref="E369">
      <text>
        <t xml:space="preserve">НА САМОМ ДЕЛЕ БУТОВ ВЗРЫВАЕТ НЕ ТАК МНОГО, ЧТО БЫ ПЕРЕБИТЬ СВОЙ УРОН, ПОЭТОМУ НЕ 1000 МС</t>
      </text>
    </comment>
    <comment authorId="0" ref="E384">
      <text>
        <t xml:space="preserve">НАБРАТЬ ЕМУ ВЭ ВЕСЬМА ЛЕГКО. ДА, ВЫ МОЖЕТЕ ИГРАТЬ С БЕССТРУННЫМ. НУ ТОГДА ПРОСТО ПОСТАВЬ ЧАСЫ НА ВЭ И ВСЁ! 180% ГОТОВО. КОРОЧЕ ОН В ПЛАНЕ ЭНЕРГИИ ОЧЕНЬ ПРОСТ. ВЫ ДАЖЕ НЕХОТЯ 200% НАБЕРЁТЕ</t>
      </text>
    </comment>
    <comment authorId="0" ref="D400">
      <text>
        <t xml:space="preserve">25к С ЯНТАРЁМ!!!</t>
      </text>
    </comment>
    <comment authorId="0" ref="E403">
      <text>
        <t xml:space="preserve">НЕ ЗАБЫВАЕМ, ЧТО НАШЕ ЛУЧШЕЕ ОРУЖИЕ ЭТО КАЗИНО, А ТАМ КАК УПАДЁТ 120% СА, ТО ИЗИ 2300 БУДЕТ!</t>
      </text>
    </comment>
    <comment authorId="0" ref="E404">
      <text>
        <t xml:space="preserve">200 ЭТО В СРЕДНЕМ СТОЛЬКО НАДО!
А 1000 ЭТО ТОЛЬКО ЕСЛИ ЛЕНЬ СОБИРАТЬ В КРИТЫ И СА. ТОГДА МЫ НАБИРАЕМ 1000 И ДЕЛАЕМ ГРЯНЬ КАК ДРАЙВЕР!</t>
      </text>
    </comment>
    <comment authorId="0" ref="E405">
      <text>
        <t xml:space="preserve">ЕСЛИ БУДЕТЕ НАЖИМАТЬ 1 ЕШКУ, ТО ЛУЧШЕ НАБРАТЬ 160%</t>
      </text>
    </comment>
    <comment authorId="0" ref="E419">
      <text>
        <t xml:space="preserve">ЕСЛИ БУДЕТЕ НАЖИМАТЬ 1 ЕШКУ, ТО ЛУЧШЕ НАБРАТЬ 200%</t>
      </text>
    </comment>
    <comment authorId="0" ref="E422">
      <text>
        <t xml:space="preserve">НО ВНЕ КРИО, ДАЖЕ 90% НАБРАТЬ ЭТО УЖЕ ЗАДАЧА СЛОЖНАЯ. ПОЭТОМУ 80% ЭТО УЖЕ ОЧЕНЬ ХОРОШО!</t>
      </text>
    </comment>
    <comment authorId="0" ref="E423">
      <text>
        <t xml:space="preserve">БЕЗ ФАРУЗАН, ЕСЛИ ЧТО!!!</t>
      </text>
    </comment>
    <comment authorId="0" ref="E424">
      <text>
        <t xml:space="preserve">ДАЖЕ С ФУРИНОЙ И ФАРУЗАН, НАМ НАДО АНЕМО КУБОК, ПОТОМУ ЧТО АФФИКСА НЕ ХВАТАЕТ...</t>
      </text>
    </comment>
    <comment authorId="0" ref="E426">
      <text>
        <t xml:space="preserve">КОРОЧЕ 120% ВЭ ЭТО ЕЩЁ ПО ЦАРСКИ! БЕЗ ФУРИНЫ НАПРИМЕР!
ПО НОРМАЛЬНОМУ ВООБЩЕ НЕ СОБИРАЮТ. НУ 110% ПИК!</t>
      </text>
    </comment>
    <comment authorId="0" ref="E431">
      <text>
        <t xml:space="preserve">871 - ПИК БАЗОВОЙ
804 - ЭЛИГИЯ
651 - ЭТО ФАВОНИЙ (ИСКЛЮЧЕНИЕ!)</t>
      </text>
    </comment>
    <comment authorId="0" ref="E438">
      <text>
        <t xml:space="preserve">СА НА САМОМ ДЕЛЕ БОЛЬШЕ УРОНА ДАЁТ, ЧЕМ МС
НО ЧТО БЫ СОБРАТЬ ХЭЙДЗО В КРИТЫ И СА, НАДО ОЧЕНЬ ДОЛГО ДРОЧИТЬ АРТЫ...</t>
      </text>
    </comment>
    <comment authorId="0" ref="E439">
      <text>
        <t xml:space="preserve">ОПЯТЬ 900 МС РЕШАЮТ ТОЛЬКО, ЕСЛИ МЫ ИГРАЕМ КАК ДРАЙВЕР. ТО ЕСТЬ СТОИМ И БЬЁМ, И ПОСТОЯННО ЧТО-ТО РАЗДУВАЕМ!
КАК САППОРТУ 50 МС С ГОЛОВОЙ!</t>
      </text>
    </comment>
    <comment authorId="0" ref="E446">
      <text>
        <t xml:space="preserve">ЕСЛИ У ВАС САЮ ПРОСТО САП С ХИЛЛОМ, ТО МОЖЕТЕ СПОКОЙНО В СА И БОНУС ЛЕЧЕНИЯ</t>
      </text>
    </comment>
    <comment authorId="0" ref="E453">
      <text>
        <t xml:space="preserve">ВСЕ СБОРКИ В СВОЙ УРОН, ЭТО ВСЕГДА МИНУС КУЧА УРОНА ПАЧКИ...</t>
      </text>
    </comment>
    <comment authorId="0" ref="E459">
      <text>
        <t xml:space="preserve">КУБОК НА СА, ЧАСТО МОЖНО ПОСТАВИТЬ!</t>
      </text>
    </comment>
    <comment authorId="0" ref="E461">
      <text>
        <t xml:space="preserve">ДЛЯ СЯО УЛЬТ ЭТО ВСЁ! НЕТ УЛЬТЫ, НЕТ УРОНА. ПОЭТОМУ НАБИРАЙТЕ ВЭ ПО МАКСИМУМ. 130% ДАЖЕ НЕ ВСЕГДА ХВАТАЕТ...</t>
      </text>
    </comment>
    <comment authorId="0" ref="E475">
      <text>
        <t xml:space="preserve">130% ХВАТАЕТ ТОЛЬКО ЕСЛИ ИГРАТЬ КАК ДРАЙВЕР</t>
      </text>
    </comment>
    <comment authorId="0" ref="E492">
      <text>
        <t xml:space="preserve">35% КАК ВСЕГДА ПОД ФАВОНИЙ</t>
      </text>
    </comment>
    <comment authorId="0" ref="E507">
      <text>
        <t xml:space="preserve">НЕ ЗАБЫВАЙТЕ ЧТО ГОРО С6 ДАЁТ 40 КРИТ УРОНА ВСЕМ ПОСЛЕ УЛЬТЫ. ПОЭТОМУ ГОРО ИНТЕРЕСНЫЙ ВАРИАНТ</t>
      </text>
    </comment>
    <comment authorId="0" ref="E513">
      <text>
        <t xml:space="preserve">ЕСЛИ ИСПОЛЬЗОВАТЬСЯ СМЕРТЕЛЬНЫЙ БОЙ, ТО И ВСЕ 95% БУДУТ. КОРОЧЕ ШК НАБИРАТЬ СТОИТ!</t>
      </text>
    </comment>
    <comment authorId="0" ref="E524">
      <text>
        <t xml:space="preserve">ЕСЛИ У ВАС БУДЕТ МЕНЬШЕ 180%, УЛЬТ В ЖИЗНИ НЕ НАЖМЁТЕ...</t>
      </text>
    </comment>
    <comment authorId="0" ref="E536">
      <text>
        <t xml:space="preserve">СА НАМ ТОЖЕ ДАЁТ УРОН, ХОТЬ И  МЕНЬШЕ, ЧЕМ ЗАЩИТА!</t>
      </text>
    </comment>
    <comment authorId="0" ref="E549">
      <text>
        <t xml:space="preserve">ИГРАЯ С ХОМОЙ, МОЖНО И 200% ДЕЛАТЬ, НО ТОЛКУ ВСЁ РАВНО МАЛО...</t>
      </text>
    </comment>
    <comment authorId="0" ref="E564">
      <text>
        <t xml:space="preserve">СА НАМ ТОЖЕ ДАЁТ УРОН, ХОТЬ И  МЕНЬШЕ, ЧЕМ ЗАЩИТА!</t>
      </text>
    </comment>
    <comment authorId="0" ref="D568">
      <text>
        <t xml:space="preserve">ЧАСТО ИГРАЕТ В ДАБЛ ГИДРО, ИЗ-ЗА ЧЕГО БЫВАЕТ И 22к</t>
      </text>
    </comment>
    <comment authorId="0" ref="E580">
      <text>
        <t xml:space="preserve">А УЛЬТА НАМ 100% НАДО!</t>
      </text>
    </comment>
    <comment authorId="0" ref="E586">
      <text>
        <t xml:space="preserve">ЕСЛИ МЫ БУДЕМ ВЗРЫВАТЬ БУТОНЫ НА ПОЛЕ БОЯ, ТО 600 МС ХВАТИТ С ГОЛОВОЙ!</t>
      </text>
    </comment>
    <comment authorId="0" ref="E592">
      <text>
        <t xml:space="preserve">НО УЧИТЫВАЯ БЕННЕТА, ТО МС БУДЕТ ВАЖНЫМ ЭЛЕМЕНТОМ</t>
      </text>
    </comment>
    <comment authorId="0" ref="E593">
      <text>
        <t xml:space="preserve">КАРМАНОГО УРОНА НЕТ, А СВОЙ УРОН ВСЕГДА ПЕРЕБИВАЕТ БУТОНЫ. ПОЭТОМУ 1000 МС МЫ НЕ НАБИРАЕМ.
ЕСЛИ ДОБАВИТЬ НАХИДУ И ДЕНДРО РЕЗОНАНС, ТО В ЦЕЛОМ 1000 БУДЕТ. НО САМОЙ СЕБЕ 1000 НЕ НАБИРАЕМ</t>
      </text>
    </comment>
    <comment authorId="0" ref="D597">
      <text>
        <t xml:space="preserve">ЭТО ШК ИМЕННО В ПРЫЖКИ.
ТАК-ТО ДОЛЖНО БЫТЬ 75%</t>
      </text>
    </comment>
    <comment authorId="0" ref="D598">
      <text>
        <t xml:space="preserve">ЭТО КУ ИМЕННО В ПРЫЖКИ.
ТАК-ТО ДОЛЖНО БЫТЬ 200%</t>
      </text>
    </comment>
    <comment authorId="0" ref="E600">
      <text>
        <t xml:space="preserve">КАРМАНОГО УРОНА НЕТ, А СВОЙ УРОН ВСЕГДА ПЕРЕБИВАЕТ БУТОНЫ. ПОЭТОМУ 1000 МС МЫ НЕ НАБИРАЕМ.
ЕСЛИ ДОБАВИТЬ НАХИДУ И ДЕНДРО РЕЗОНАНС, ТО В ЦЕЛОМ 1000 БУДЕТ. НО САМОМУ СЕБЕ 1000 НЕ НАБИРАЕМ</t>
      </text>
    </comment>
    <comment authorId="0" ref="E621">
      <text>
        <t xml:space="preserve">В ПАРЕ И ТАЯНИЕ ОЧЕНЬ ПЛОХО ИГРАЕТ, ПОТОМУ ЧТО УРОН ЕЁ ПОЧТИ НЕ РАСТЁТ! 
ПОХОЖЕ ОЧЕНЬ НА АЯКУ!</t>
      </text>
    </comment>
    <comment authorId="0" ref="E622">
      <text>
        <t xml:space="preserve">ПРИ ВСЕХ ОСТАЛЬНЫХ РАССКАЛАДАХ, БУДЕТЕ ПОТЕТЬ СТРАШНО И ТО НЕ ФАКТ, ЧТО НАЖМЁТЕ...
КОРОЧЕ С УЛЬТОЙ ТУТ ВСЁ СЛОЖНО!
ПРОЩЕ ВООБЩЕ НЕ НАЖИМАТЬ!</t>
      </text>
    </comment>
    <comment authorId="0" ref="E629">
      <text>
        <t xml:space="preserve">САМОЕ ГЛАВНОЕ У ТОМЫ - ЭТО ЛОВИТЬ СВОИ ЖЕ ЧАСТИЦЫ, ИНАЧЕ НЕ БУДЕТ ТЕБЕ УЛЬТЫ...</t>
      </text>
    </comment>
    <comment authorId="0" ref="E649">
      <text>
        <t xml:space="preserve">КАРМАНОГО УРОНА НЕТ, А СВОЙ УРОН ВСЕГДА ПЕРЕБИВАЕТ БУТОНЫ. ПОЭТОМУ 1000 МС МЫ НЕ НАБИРАЕМ.
ЕСЛИ ДОБАВИТЬ НАХИДУ И ДЕНДРО РЕЗОНАНС, ТО В ЦЕЛОМ 1000 БУДЕТ. НО САМОЙ СЕБЕ 1000 НЕ НАБИРАЕМ</t>
      </text>
    </comment>
    <comment authorId="0" ref="E656">
      <text>
        <t xml:space="preserve">БУТОНЫ КОНЕЧНО ВЗРЫВАТЬ МОЖНО! НО КТО БЫСТРЕЙ СДОХНЕТ. ЩИТ ИЛИ ВРАГ?
ОТВЕТ ОЧЕВИДНЫЙ!</t>
      </text>
    </comment>
    <comment authorId="0" ref="E676">
      <text>
        <t xml:space="preserve">НО ИЗ-ЗА ТОГО ЧТО МЫ ИГРАЕМ ВСЁ ВРЕМЯ С БЕННЕТОМ. МЫ ПОЛУЧАЕМ БОЛЬШЕ ПОЛЬЗЫ ОТ МС</t>
      </text>
    </comment>
    <comment authorId="0" ref="D677">
      <text>
        <t xml:space="preserve">МС НАБИРАЕТСЯ ЛЕГКО, ТАК ЧТО ИГРАТЬ В РЕАКЦИЯХ ВЫГОДНО! НО ПРИ ЭТОМ У ЕЁ КУЧА БАФФОВ ПОД МОНО ПИРО. ПОЭТОМУ ТУТ ДИЛЕМА КОНЕЧНО...</t>
      </text>
    </comment>
    <comment authorId="0" ref="E690">
      <text>
        <t xml:space="preserve">865 - ПИК БАЗОВОЙ
805 - ХОРОШИЙ СРЕДНЯК
646 - ЭТО ФАВОНИЙ (ИСКЛЮЧЕНИЕ!)</t>
      </text>
    </comment>
    <comment authorId="0" ref="E698">
      <text>
        <t xml:space="preserve">0 В ФОРМЕ СВЕТА. ТАМ РЕАЦИЙ У НАС ПОЧТИ НЕТ!</t>
      </text>
    </comment>
    <comment authorId="0" ref="E705">
      <text>
        <t xml:space="preserve">НЕ ЗАБЫВАЙ ПРО ДЕДНРО РЕЗОНАНС!</t>
      </text>
    </comment>
    <comment authorId="0" ref="E711">
      <text>
        <t xml:space="preserve">3200 СА МОЖНО НАБРАТЬ С УСМИРИТЕЛЕМ БЕД
2400 ДЛЯ П2 НАБИРАЮТСЯ ЛЕГКО! НО НЕ ЗАБЫВАЙТЕ ИХ ДОБРАТЬ!</t>
      </text>
    </comment>
    <comment authorId="0" ref="E712">
      <text>
        <t xml:space="preserve">НЕ ЗАБЫВАЙ ПРО ДЕДНРО РЕЗОНАНС!</t>
      </text>
    </comment>
    <comment authorId="0" ref="E719">
      <text>
        <t xml:space="preserve">350 МС ЭТО ЧАСТУЮ С КЛЮЧЁМ ХАДЖИ. ТАК ТО КОНЕЧНО ОТ МС ТОЛКУ МАЛО...
МОЖНО КОНЕЧНО В БУТОНАХ РАЗГУЛЯТЬСЯ, НО ТАМ ТОЖЕ ЛУЧШЕ ФУЛЛ ХП ДЛЯ ЩИТА КРЕПКОГО!</t>
      </text>
    </comment>
    <comment authorId="0" ref="E722">
      <text>
        <t xml:space="preserve">МОЖНО КОНЕЧНО В СВОЙ УРОН ПОЙТИ. НО УРОН НЕ ТАКОЙ БОЛЬШОЙ, ЧТО БЫ ЖЕРТВОВАТЬ ЩИТОМ</t>
      </text>
    </comment>
    <comment authorId="0" ref="E726">
      <text>
        <t xml:space="preserve">ИЗ-ЗА ЧЕГО ОТ МС ТОЛКУ ОЧЕНЬ МАЛО, ТАК КАК РЕАКЦИЙ НИКАКИХ НЕТ ТОЛКОМ, А 800 ХВАТИТ С ГОЛОВОЙ. КОРОЧЕ ЛУЧШЕ В СВОЙ УРОН СОБИРАТЬСЯ</t>
      </text>
    </comment>
    <comment authorId="0" ref="D729">
      <text>
        <t xml:space="preserve">ГИДРО РЕЗОНАНС МОЖЕТ ДАТЬ 24к</t>
      </text>
    </comment>
    <comment authorId="0" ref="E741">
      <text>
        <t xml:space="preserve">НО ЕСЛИ УЛЬТ УЖЕ БЫЛ ПРОЖАТЬ, ТО СЧИТАЙ НОВЫЙ УЛЬТ УЖЕ ПОЧТИ В КАРМАНЕ!</t>
      </text>
    </comment>
    <comment authorId="0" ref="E754">
      <text>
        <t xml:space="preserve">ЕСЛИ ВДРУГ ЗАБЫЛИ, ДЕНДРО РЕЗОНАНС + СНЫ, МОГУТ ПОМОЧЬ В СБОРЕ 1000 МС!</t>
      </text>
    </comment>
    <comment authorId="0" ref="E760">
      <text>
        <t xml:space="preserve">А ТАК-ТО УРОНА КОНЕЧНО МАЛО...</t>
      </text>
    </comment>
    <comment authorId="0" ref="E761">
      <text>
        <t xml:space="preserve">МЫ ВСЕГДА ИГРАЕМ В ДАБЛ ДЕНДРО, А ЭТО УЖЕ 100 МС</t>
      </text>
    </comment>
    <comment authorId="0" ref="E768">
      <text>
        <t xml:space="preserve">НА САМОМ ДЕЛЕ МС ДАЁТ НАМ НЕ ТАК МНОГО, КАК ХАЙТАМУ, НО ВСЁ ЖЕ МС ЛУЧШЕ ЧЕМ СА.
ТАК ЧТО СОБИРАЕМ МС ОБЬЯЗАТЕЛЬНО!
300 МС ВООБЩЕ С ЧАСОВ+РЕЗОНАНСА НАБИРАЮТСЯ. ТАК ЧТО ТУТ ЛЕГКО ВСЁ!</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📜ТИР ЛИСТ НА ВСЕ АРТЫ:
https://youtu.be/jo_EAiQuRQQ</t>
      </text>
    </comment>
    <comment authorId="0" ref="B1">
      <text>
        <t xml:space="preserve">📜САЙТ ГДЕ МОЖНО ГЛЯНУТЬ ОПИСАНИЕ ЭТИХ АРТЕФАКТОВ:
https://gi.yatta.moe/ru/archive/reliquary</t>
      </text>
    </comment>
    <comment authorId="0" ref="C1">
      <text>
        <t xml:space="preserve">⛔️ОЧЕНЬ ВАЖНО!⛔️
 ЭТА СИСТЕМА ПОДСЧЁТА НЕ ЯВЛЯЕТСЯ ПАНАЦЕЕЙ ИСТИННОЙ ЭФФЕКТИВНОСТИ АРТЕФАКТА. ЭТО ПОДСЧЁТ СУХИХ ЦИФЕР АРТЕФАКТА!
 САМА ПО СЕБЕ СИСТЕМА ПОДСЧЁТА БЫЛА ПРИДУМАНА АВТОРОМ ТАБЛИЦЫ☢️
 САМА СИСТЕМА ПОДСЧЁТА:
1 СИЛА АРТЕФАКТЫ = 1% СА
1 СТ - ЭТО СИЛА АРТЕФАКТА 
 ПО ВЕРХНИМ:
1% ХП = 1 СТ - Хит Поинт
1% ЗЩ = 0.80 СТ - Защита
1 МС = 0.25 СТ - Мастерство Стихий
1% ВЭ = 0.90 СТ - Восст. Энергии
1% ЭЛ =  1 СТ - Элем. БОНУС
1% СЭ = 0.88 СТ - Срез. Элем.
1% ФБ = 0.8 СТ - ФИЗ. БОНУС
1% ШК = 1.5 СТ - Шанс Крита
1% КУ = 0.75 СТ - Крит Урон
1% БЛ = 1.3 СТ - Бонус Лечения
СОЛЯНКИ: ОТ 20 ДО 45
☢️К СОЖАЛЕНИЮ ЧЕРЕЗ ЭТУ СИСТЕМА НЕ ВСЕ ЦИФРЫ ПОТДАЮТСЯ СУХОМУ ПОДСЧЁТУ. ПОЭТОМУ БУДЕМ СЧИТАТЬ ИНДИВИДУАЛЬНО КАЖДЫЙ АРТ☢️</t>
      </text>
    </comment>
    <comment authorId="0" ref="D1">
      <text>
        <t xml:space="preserve">⛔️ПОЯСНЕНИЕ!⛔️
ТУТ ГИБКОСТЬ ЯВЛЯЕТ ЧЁТКИМ КОЛИЧЕСТВОМ НОСИТЕЛЕЙ ЭТОГО СЕТА.
ЦИФРА = КОЛИЧЕСТВУ ПЕРСОНАЖЕЙ, КОТОРЫЙ МОГУТ ЭФФЕКТИВНО ИСПОЛЬЗОВАТЬ СЕТ
*СПОРНО⛔️* - ПЕРСОНАЖИ КОТОРЫЕ МОГУТ ИСПОЛЬЗОВАТЬ СЕТ, НО ЭТОГО НЕ ДЕЛАЮТ, ПОТОМУ ЧТО ЕСТЬ АЛЬТЕРНАТИВЫ ЛУЧШЕ!
ЗА ТАКИХ ПЕРСОНАЖЕЙ Я ДАЮ 0.5 В ГИБКОСТЬ
А ТАК ЖЕ 5⭐️ ПЕРСОНАЖИ НА С6 ДАЮТ 0,5 ГИБКОСТЬ
СТИХИИ: 💧 ГИДРО \ 🔥 ПИРО \ ⚡️ ЭЛЕКТРО \ ❄️ КРИО \ ☘️ ДЕНДРО \ 💨 АНЕМО \ 💎 ГЕО</t>
      </text>
    </comment>
    <comment authorId="0" ref="E1">
      <text>
        <t xml:space="preserve">1й ПРИМЕР ПОДХОДЯЩЕГО ПЕРСОНАЖА
⛔️ТУТ УЧИТЫВАЕТСЯ НЕ МАКСИМАЛЬНЫЙ УРОН ПЕРСОНАЖА С ЭТИМ СЕТОМ! А СОВМЕСТИМОСТЬ С ЭТИМ СЕТОМ! ЭТО РАЗНЫЕ ВЕЩИ!
ТО ЕСТЬ НАСКОЛЬКО КАЧЕСТВЕННО ПОДХОДИТ СЕТ ПОД ПЕРСОНАЖА
</t>
      </text>
    </comment>
    <comment authorId="0" ref="F1">
      <text>
        <t xml:space="preserve">2й ПРИМЕР ПОДХОДЯЩЕГО ПЕРСОНАЖА
⛔️ТУТ УЧИТЫВАЕТСЯ НЕ МАКСИМАЛЬНЫЙ УРОН ПЕРСОНАЖА С ЭТИМ СЕТОМ! А СОВМЕСТИМОСТЬ С ЭТИМ СЕТОМ! ЭТО РАЗНЫЕ ВЕЩИ!
ТО ЕСТЬ НАСКОЛЬКО КАЧЕСТВЕННО ПОДХОДИТ СЕТ ПОД ПЕРСОНАЖА</t>
      </text>
    </comment>
    <comment authorId="0" ref="G1">
      <text>
        <t xml:space="preserve">3й ПРИМЕР ПОДХОДЯЩЕГО ПЕРСОНАЖА
⛔️ТУТ УЧИТЫВАЕТСЯ НЕ МАКСИМАЛЬНЫЙ УРОН ПЕРСОНАЖА С ЭТИМ СЕТОМ! А СОВМЕСТИМОСТЬ С ЭТИМ СЕТОМ! ЭТО РАЗНЫЕ ВЕЩИ!
ТО ЕСТЬ НАСКОЛЬКО КАЧЕСТВЕННО ПОДХОДИТ СЕТ ПОД ПЕРСОНАЖА</t>
      </text>
    </comment>
    <comment authorId="0" ref="B2">
      <text>
        <t xml:space="preserve">Серенада шёлковой луны - ПОЛНОЕ НАЗВАНИЕ☢️</t>
      </text>
    </comment>
    <comment authorId="0" ref="C2">
      <text>
        <t xml:space="preserve">СЧЁТ:
2 Куска = 18 СТ
4 Куска = 50 - 180 СТ</t>
      </text>
    </comment>
    <comment authorId="0" ref="D2">
      <text>
        <t xml:space="preserve">ПОДОЙДЁТ ЛЮБОМУ САПУ КОТОРЫЙ ИГРАЕТ В РЕАКЦИЯХ, ЕСЛИ В ВАШЕМ ОТРЯДЕ БУДЕТ ДВА НОД КРАЕВЦА!</t>
      </text>
    </comment>
    <comment authorId="0" ref="B3">
      <text>
        <t xml:space="preserve">Свиток героя сожжённого города - ПОЛНОЕ НАЗВАНИЕ☢️</t>
      </text>
    </comment>
    <comment authorId="0" ref="C3">
      <text>
        <t xml:space="preserve">СЧЁТ:
2 Куска = 10\20\30 СТ
4 Куска = 40-160 СТ</t>
      </text>
    </comment>
    <comment authorId="0" ref="D3">
      <text>
        <t xml:space="preserve">ПЕРСОНАЖИ:
СИТЛАЛИ❄️
ОРОРОН⚡️
ШИЛОНЕН💎
КАЧИНА💎
ИАНСАН⚡️
МАВУИКА🔥
ИФА💨
ПИРО ГГ🔥
СПОРНО⛔️:
КИНИЧ☘️
МУАЛАНИ💧
СЕТ РАБОТАЕТ С КАРМАНА✅
</t>
      </text>
    </comment>
    <comment authorId="0" ref="B4">
      <text>
        <t xml:space="preserve">Изумрудная тень - ПОЛНОЕ НАЗВАНИЕ☢️</t>
      </text>
    </comment>
    <comment authorId="0" ref="C4">
      <text>
        <t xml:space="preserve">СЧЁТ:
2 Куска = 20 СТ
4 Куска = 35-140 СТ</t>
      </text>
    </comment>
    <comment authorId="0" ref="D4">
      <text>
        <t xml:space="preserve">ЛЮБОЙ АНИМЕШНИК💨
АБСОЛЮТНО ЛЮБОЙ!!!
СПОРНО⛔️:
СКАРАММУЧА💨
СЯО💨
ЧАСКА💨
С КАРМАНА СЕТ НЕ РАБОТАЕТ!⛔️</t>
      </text>
    </comment>
    <comment authorId="0" ref="B5">
      <text>
        <t xml:space="preserve">Ночь открытия неба - ПОЛНОЕ НАЗВАНИЕ☢️</t>
      </text>
    </comment>
    <comment authorId="0" ref="C5">
      <text>
        <t xml:space="preserve">СЧЁТ:
2 Куска = 20 СТ
4 Куска = 65 - 105 СТ</t>
      </text>
    </comment>
    <comment authorId="0" ref="D5">
      <text>
        <t xml:space="preserve">ПОДОЙДЁТ ЛЮБОМУ ДД КОТОРЫЙ ИГРАЕТ ОТ РЕАКЦИЙ, ЕСЛИ В ВАШЕМ ОТРЯДЕ БУДЕТ ДВА НОД КРАЕВЦА!</t>
      </text>
    </comment>
    <comment authorId="0" ref="B6">
      <text>
        <t xml:space="preserve">Клятва долгой ночи - ПОЛНОЕ НАЗВАНИЕ☢️</t>
      </text>
    </comment>
    <comment authorId="0" ref="C6">
      <text>
        <t xml:space="preserve">СЧЁТ:
2 Куска = 25 СТ
4 Куска = 75 СТ</t>
      </text>
    </comment>
    <comment authorId="0" ref="D6">
      <text>
        <t xml:space="preserve">ПЕРСОНАЖИ:
ВАРЕСА⚡️
СЯО💨
КА МИН🔥
ХУ ТАО🔥
ДИЛЮК🔥
ФРЕМИНЕ❄️
ЭОЛА❄️
НАВИЯ💎
АЯКА❄️
ЦАПЛЯ С6💨
</t>
      </text>
    </comment>
    <comment authorId="0" ref="B7">
      <text>
        <t xml:space="preserve">Инструктор - ПОЛНОЕ НАЗВАНИЕ☢️</t>
      </text>
    </comment>
    <comment authorId="0" ref="C7">
      <text>
        <t xml:space="preserve">СЧЁТ:
2 Куска = 20 СТ
4 Куска = 30-120 СТ</t>
      </text>
    </comment>
    <comment authorId="0" ref="D7">
      <text>
        <t xml:space="preserve">МОЖНО ПОСТАВИТЬ ЛЮБОМУ САППОРТУ, У КОТОРОГО ИЛИ МАЛЕНЬКИЙ СВОЙ УРОН.
ИЛИ ПРОСТО НИКАКОГО СЕТА НЕТ ЛУЧШЕ</t>
      </text>
    </comment>
    <comment authorId="0" ref="B8">
      <text>
        <t xml:space="preserve">Архаичный камень - ПОЛНОЕ НАЗВАНИЕ☢️</t>
      </text>
    </comment>
    <comment authorId="0" ref="C8">
      <text>
        <t xml:space="preserve">СЧЁТ:
2 Куска = 15 СТ
4 Куска = 35-105 СТ</t>
      </text>
    </comment>
    <comment authorId="0" ref="D8">
      <text>
        <t xml:space="preserve">ЛЮБОЙ ГЕО💎! И НЕ ТОЛЬКО!
ВЕДЬ НАМ НАДО ПРОСТО ПОДНЯТЬ КРИСТАЛЛ
А КРИСТАЛЛ МОЖЕТ ПОДНЯТЬ ЛЮБОЙ ПЕРСОНАЖ, У КОТОРОГО ЕСТЬ ЭТОТ СЕТ⛔️
С КАРМАНА СЕТ НЕ РАБОТАЕТ!⛔️</t>
      </text>
    </comment>
    <comment authorId="0" ref="B9">
      <text>
        <t xml:space="preserve">Обсидиановый фолиант - ПОЛНОЕ НАЗВАНИЕ☢️</t>
      </text>
    </comment>
    <comment authorId="0" ref="C9">
      <text>
        <t xml:space="preserve">СЧЁТ:
2 Куска = 15 СТ
4 Куска = 60 СТ</t>
      </text>
    </comment>
    <comment authorId="0" ref="D9">
      <text>
        <t xml:space="preserve">ПЕРСОНАЖИ:
КИНИЧ☘️
МУАЛАНИ💧
ЧАСКА💨
МАВУИКА🔥
ПИРО ГГ🔥
СПОРНО⛔️:
ВАРЕСА⚡️
ШИЛОНЕН💎
КАЧИНА💎
ИФА💨</t>
      </text>
    </comment>
    <comment authorId="0" ref="B10">
      <text>
        <t xml:space="preserve">Финал галерей глубин - ПОЛНОЕ НАЗВАНИЕ☢️</t>
      </text>
    </comment>
    <comment authorId="0" ref="C10">
      <text>
        <t xml:space="preserve">СЧЁТ:
2 Куска = 15 СТ
4 Куска = 60 СТ</t>
      </text>
    </comment>
    <comment authorId="0" ref="D10">
      <text>
        <t xml:space="preserve">ПЕРСОНАЖИ:
СКИРК❄️</t>
      </text>
    </comment>
    <comment authorId="0" ref="B11">
      <text>
        <t xml:space="preserve">Стойкость Миллелита - ПОЛНОЕ НАЗВАНИЕ☢️</t>
      </text>
    </comment>
    <comment authorId="0" ref="C11">
      <text>
        <t xml:space="preserve">СЧЁТ:
2 Куска = 20 СТ
4 Куска = 20-87.5 СТ</t>
      </text>
    </comment>
    <comment authorId="0" ref="D11">
      <text>
        <t xml:space="preserve">ПЕРСОНАЖИ:
СИНЬ ЯНЬ🔥 | ЧЖУН ЛИ💎 | КОКОМИ💧 | СИНОБУ⚡️ | ЛАЙЛА❄️ | ФАРУЗАН C6💨 | ЯО ЯО☘️ | ДЭХЬЯ🔥 | БАЙ ДЖУ С2☘️ | ФУРИНА💧 | СИДЖВИНИ💧 | СИТЛАЛИ❄️
СПОРНО⛔️:
МОНА💧 | ФИШЛЬ⚡️ | АЛЬБЕДО💎 | ЯЭ МИКО ⚡️| ГГ💧 | ШАРЛОТТА❄️
СЕТ С КАРМАНА РАБОТАЕТ✅</t>
      </text>
    </comment>
    <comment authorId="0" ref="B12">
      <text>
        <t xml:space="preserve">Фрагмент гармонической фантазии - ПОЛНОЕ НАЗВАНИЕ☢️</t>
      </text>
    </comment>
    <comment authorId="0" ref="C12">
      <text>
        <t xml:space="preserve">СЧЁТ:
2 Куска = 18 СТ
4 Куска = 54 СТ</t>
      </text>
    </comment>
    <comment authorId="0" ref="D12">
      <text>
        <t xml:space="preserve">ПЕРСОНАЖИ:
АРЛЕКИНО🔥
КЛОРИНДА⚡️</t>
      </text>
    </comment>
    <comment authorId="0" ref="B13">
      <text>
        <t xml:space="preserve">Церемония древней знати - ПОЛНОЕ НАЗВАНИЕ☢️</t>
      </text>
    </comment>
    <comment authorId="0" ref="C13">
      <text>
        <t xml:space="preserve">СЧЁТ:
2 Куска = 20 СТ
4 Куска = 20-80 СТ</t>
      </text>
    </comment>
    <comment authorId="0" ref="D13">
      <text>
        <t xml:space="preserve">НА САМОМ ДЕЛЕ ПОСТАВИТЬ СЕТ МОЖНО НА КОГО УГОДНО! ГЛАВНОЕ ЧТО БЫ УЛЬТ У ПЕРСОНАЖ СТАБИЛЬНО НАЖИМАЛСЯ!</t>
      </text>
    </comment>
    <comment authorId="0" ref="B14">
      <text>
        <t xml:space="preserve">Золотая труппа - ПОЛНОЕ НАЗВАНИЕ☢️</t>
      </text>
    </comment>
    <comment authorId="0" ref="C14">
      <text>
        <t xml:space="preserve">СЧЁТ:
2 Куска = 20СТ
4 Куска = 50 СТ</t>
      </text>
    </comment>
    <comment authorId="0" ref="D14">
      <text>
        <t xml:space="preserve">ПЕРСОНАЖИ:
ФИШЛЬ⚡️
ЯЭ МИКО⚡️
НАХИДА☘️
ФУРИНА💧
ТИОРИ💎
АЛЬБЕДО💎
ЭМИЛИЯ☘️
ЭСКОФЬЕ❄️
СПОРНО⛔️:
ФАРУЗАН💨
ШАРЛОТТА❄️
ИНЕФФИ⚡️
</t>
      </text>
    </comment>
    <comment authorId="0" ref="B15">
      <text>
        <t xml:space="preserve">Сияние Вурукаши - ПОЛНОЕ НАЗВАНИЕ☢️</t>
      </text>
    </comment>
    <comment authorId="0" ref="C15">
      <text>
        <t xml:space="preserve">СЧЁТ:
2 Куска = 20 СТ
4 Куска = 50 СТ</t>
      </text>
    </comment>
    <comment authorId="0" ref="D15">
      <text>
        <t xml:space="preserve">ПЕРСОНАЖИ:
ДЭХЬЯ🔥
НИЛУ С6💧
СПОРНО⛔️:
НИЛУ💧
Е ЛАНЬ💧(В БУТОНАХ☘️💧)</t>
      </text>
    </comment>
    <comment authorId="0" ref="B16">
      <text>
        <t xml:space="preserve">Рыцарь крови - ПОЛНОЕ НАЗВАНИЕ☢️</t>
      </text>
    </comment>
    <comment authorId="0" ref="C16">
      <text>
        <t xml:space="preserve">СЧЁТ:
2 Куска = 20 СТ
4 Куска = 50 СТ</t>
      </text>
    </comment>
    <comment authorId="0" ref="D16">
      <text>
        <t xml:space="preserve">ПЕРСОНАЖИ:
СИНЬ ЯНЬ🔥</t>
      </text>
    </comment>
    <comment authorId="0" ref="B17">
      <text>
        <t xml:space="preserve">Охотник Сумеречного двора - ПОЛНОЕ НАЗВАНИЕ☢️</t>
      </text>
    </comment>
    <comment authorId="0" ref="C17">
      <text>
        <t xml:space="preserve">СЧЁТ:
2 Куска = 15 СТ
4 Куска = 54 СТ</t>
      </text>
    </comment>
    <comment authorId="0" ref="D17">
      <text>
        <t xml:space="preserve">ЗА СЧЁТ ФУРИНЫ ЭТОТ СЕТ МОЖЕТ ИСПОЛЬЗОВАТЬ КТО УГОДНО!
НО ЛУЧШИЕ НОСИТЕЛИ:
НЁВИЛЛЕТ💧
РИЗЛИ❄️
ХУ ТАО🔥
НОЭЛЛЬ💎
</t>
      </text>
    </comment>
    <comment authorId="0" ref="B18">
      <text>
        <t xml:space="preserve">Эмблема рассечённой судьбы - ПОЛНОЕ НАЗВАНИЕ☢️</t>
      </text>
    </comment>
    <comment authorId="0" ref="C18">
      <text>
        <t xml:space="preserve">СЧЁТ:
2 Куска = 18 СТ
4 Куска = 30-70 СТ</t>
      </text>
    </comment>
    <comment authorId="0" ref="D18">
      <text>
        <t xml:space="preserve">МОЖНО ПОСТАВИТЬ ЛЮБОМУ ПЕРСОНАЖУ ОТ УЛЬТЫ, КРОМЕ СКИРК И МАВУИКИ!
НАПРИМЕР:
ПЕРСОНАЖИ:
МОНА💧 | БЭЙ ДОУ⚡️ | СЯН ЛИНЬ🔥 | КЭЙА❄️ | ЛИЗА⚡️ | ГАНЬ ЮЙ❄️ | ГГ⚡️ | АЯКА❄️ | САРА⚡️ | РАЙДЭН⚡️ | ШЕНЬ ХЭ❄️ | Е ЛАНЬ💧 | СИН ЦЮ💧 | КАНДАКИЯ💧 | ДЭХЬЯ🔥  | РЭЙЗОР⚡️
СПОРНО⛔️:
ВЕНТИ💨 | РОЗАРИЯ❄️ | ГОРО💎 | ЮНЬ ДЗИН💎 | ФАРУЗАН💨 | ГГ💧
</t>
      </text>
    </comment>
    <comment authorId="0" ref="B19">
      <text>
        <t xml:space="preserve">Незаконченные грёзы - ПОЛНОЕ НАЗВАНИЕ☢️</t>
      </text>
    </comment>
    <comment authorId="0" ref="C19">
      <text>
        <t xml:space="preserve">СЧЁТ:
2 Куска = 18 СТ
4 Куска = 50 СТ</t>
      </text>
    </comment>
    <comment authorId="0" ref="D19">
      <text>
        <t xml:space="preserve">ПЕРСОНАЖИ:
КИНИЧ☘️
ЭМИЛИЯ☘️
РИЗЛИ❄️
ГАНЬ ЮЙ❄️
И ЛЮБОЙ ПИРО ДД В ГОРЕНИИ!
БЕЗ СОМНЕНИЙ! РАБОТАЕТ ТАМ ВСЁ СТАБИЛЬНО!
НО ТАК-ТО КОНЕЧНО ЛЮБОЙ ПЕРСОНАЖ МОЖЕТ ЭТОТ СЕТ ИСПОЛЬЗОВАТЬ. ГЛАВНОЕ ДОБАВИТЬ ГОРЕНИЕ В ПАЧКУ!</t>
      </text>
    </comment>
    <comment authorId="0" ref="B20">
      <text>
        <t xml:space="preserve">Воспоминания Симэнавы - ПОЛНОЕ НАЗВАНИЕ☢️</t>
      </text>
    </comment>
    <comment authorId="0" ref="C20">
      <text>
        <t xml:space="preserve">СЧЁТ:
2 Куска = 18 СТ
4 Куска = 50 СТ</t>
      </text>
    </comment>
    <comment authorId="0" ref="D20">
      <text>
        <t xml:space="preserve">ПОДХОДИТ ПЕРСОНАЖАМ, КОТОРЫЕ МОГУТ БЕЗ УЛЬТИМЕЙТА ИГРАТЬ!
ПЕРСОНАЖИ:
ВАРЕСА⚡️
ЧАСКА💨
КЛОРИНДА⚡️
АРЛЕКИНО🔥
РИЗЛИ❄️
ХУ ТАО🔥
ЁИМИЯ🔥
⛔️СКИРК И МАВУИКА НЕ МОГУТ ЕГО ИСПОЛЬЗОВАТЬ! ИЗ-ЗА ОТСУТВИЯ ЭНЕРГИИ!⛔️
</t>
      </text>
    </comment>
    <comment authorId="0" ref="B21">
      <text>
        <t xml:space="preserve">Ночной шёпот в Лесу откликающегося эха - ПОЛНОЕ НАЗВАНИЕ☢️</t>
      </text>
    </comment>
    <comment authorId="0" ref="C21">
      <text>
        <t xml:space="preserve">СЧЁТ:
2 Куска = 18 СТ
4 Куска = 50 СТ</t>
      </text>
    </comment>
    <comment authorId="0" ref="D21">
      <text>
        <t xml:space="preserve">ПЕРСОНАЖИ:
НАВИЯ💎
ИТТО💎</t>
      </text>
    </comment>
    <comment authorId="0" ref="B22">
      <text>
        <t xml:space="preserve">Кокон сладких грёз - ПОЛНОЕ НАЗВАНИЕ☢️</t>
      </text>
    </comment>
    <comment authorId="0" ref="C22">
      <text>
        <t xml:space="preserve">СЧЁТ:
2 Куска = 24 СТ
4 Куска = 43.2 СТ</t>
      </text>
    </comment>
    <comment authorId="0" ref="D22">
      <text>
        <t xml:space="preserve">ПЕРСОНАЖИ:
ИТТО💎
НОЭЛЛЬ💎
ТИОРИ💎
АЛЬБЕДО💎
ГОРО💎
ЮНЬ ДЗИН💎
СПОРНО⛔️:
ШИЛОНЕН💎
КАЧИНА💎</t>
      </text>
    </comment>
    <comment authorId="0" ref="B23">
      <text>
        <t xml:space="preserve">Воспоминания дремучего леса - ПОЛНОЕ НАЗВАНИЕ☢️</t>
      </text>
    </comment>
    <comment authorId="0" ref="C23">
      <text>
        <t xml:space="preserve">СЧЁТ:
2 Куска = 15 СТ
4 Куска = 26-78 СТ</t>
      </text>
    </comment>
    <comment authorId="0" ref="D23">
      <text>
        <t xml:space="preserve">ЛЮБОЙ ДЕНДРО☘️!
ПРИ ЧЁМ ПОСТАВИТЬ МОЖНО В ЦЕЛОМ НА ЛЮБОГО ПЕРСОНАЖА. ВЕДЬ ТАМ НУЖНО ПРОСТО УДАРИТЬ ЕШКОЙ ИЛИ УЛЬТОЙ И ВСЁ! ПОРЕЗКА НА 8 сек. 
СЕТ РАБОТАЕТ С КАРМАНА!✅</t>
      </text>
    </comment>
    <comment authorId="0" ref="B24">
      <text>
        <t xml:space="preserve">Киноварное загробье - ПОЛНОЕ НАЗВАНИЕ☢️</t>
      </text>
    </comment>
    <comment authorId="0" ref="C24">
      <text>
        <t xml:space="preserve">СЧЁТ:
2 Куска = 18 СТ
4 Куска = 48 СТ</t>
      </text>
    </comment>
    <comment authorId="0" ref="D24">
      <text>
        <t xml:space="preserve">КИНОВАРА, КАК И ОХОТНИК РАБОТАЕТ С ФУРИНОЙ. И ПО ИДЕЕ ПОСТАВИТЬ МОЖНО НА КОГО УГОДНО! НО ЕСТЬ НЬЮАНС.
НАДО НАОБОРОТ НАЖАТЬ УЛЬТУ И НЕ МЕНЯТЬСЯ. +СА НЕ ВСЕМ НУЖНА. КОРОЧЕ!
ПЕРСОНАЖИ:
СЯО💨
КАМИН🔥
РИЗЛИ❄️
С ФУРИНОЙ:
СКИРК❄️
МАВУИКА🔥
КЛОРИНДА⚡️
ЛИНИ🔥
ФРЕМИНЕ❄️
ДЭХЬЯ🔥
РАЙДЭН⚡️
ЭОЛА❄️
ДИЛЮК🔥
</t>
      </text>
    </comment>
    <comment authorId="0" ref="B25">
      <text>
        <t xml:space="preserve">Позолоченные сны - ПОЛНОЕ НАЗВАНИЕ☢️</t>
      </text>
    </comment>
    <comment authorId="0" ref="C25">
      <text>
        <t xml:space="preserve">СЧЁТ:
2 Куска = 20 СТ
4 Куска = 37.5-42 СТ</t>
      </text>
    </comment>
    <comment authorId="0" ref="D25">
      <text>
        <t xml:space="preserve">СНЫ СЧИТЫЙ ЭТО ПРОСТО СОЛЯНКА НА МС! ПРОСТО ДАЁТ БОЛЬЕШЕ! КАК ПОКАЗЫВАЕТ ПРАКТИКА, ПОСТАВИТЬ МОЖНО ЭТОТ СЕТ НА ЛЮБОГО ДД, КОТОРЫЙ ИГРАЕТ В РЕАКЦИЯХ.
СНЫ НЕ ПОДОЙДУТ ТОЛЬКО АНЕМО💨 И ГЕО💎 ДД! И ТО АНЕМО ДРАЙВЕРАМ СНЫ ЕЩЁ ПОСТАВИТЬ МОЖНО В ДАБЛ АНЕМО!</t>
      </text>
    </comment>
    <comment authorId="0" ref="B26">
      <text>
        <t xml:space="preserve">Цветок потерянного рая - ПОЛНОЕ НАЗВАНИЕ☢️</t>
      </text>
    </comment>
    <comment authorId="0" ref="C26">
      <text>
        <t xml:space="preserve">СЧЁТ:
2 Куска = 20 СТ
4 Куска = 40 СТ</t>
      </text>
    </comment>
    <comment authorId="0" ref="D26">
      <text>
        <t xml:space="preserve">ПЕРСОНАЖИ:
ТОМА🔥 СЯН ЛИН🔥
КУКИ⚡️ РАЙДЭН⚡️
СИН ЦЮ💧 КОКОМИ💧 Е ЛАНЬ💧
АЯТО💧 ФУРИНА💧 БАРБАРА💧
КАВЕХ☘️ БАЙ ДЖУ☘️ НАХИД☘️
ЯО ЯО☘️ ДЕНДРО ГГ☘️</t>
      </text>
    </comment>
    <comment authorId="0" ref="B27">
      <text>
        <t xml:space="preserve">Заблудший в метели - ПОЛНОЕ НАЗВАНИЕ☢️</t>
      </text>
    </comment>
    <comment authorId="0" ref="C27">
      <text>
        <t xml:space="preserve">СЧЁТ:
2 Куска = 15 СТ
4 Куска = 30-60 СТ</t>
      </text>
    </comment>
    <comment authorId="0" ref="D27">
      <text>
        <t xml:space="preserve">МОЖНО ПОСТАВИТЬ НА ЛЮБОГО КРИО❄️ ПЕРСОНАЖА У КОТОРОГО ЕСТЬ УРОН:</t>
      </text>
    </comment>
    <comment authorId="0" ref="B28">
      <text>
        <t xml:space="preserve">Сон нимфы - ПОЛНОЕ НАЗВАНИЕ☢️</t>
      </text>
    </comment>
    <comment authorId="0" ref="C28">
      <text>
        <t xml:space="preserve">СЧЁТ:
2 Куска = 15 СТ
4 Куска = 45 СТ</t>
      </text>
    </comment>
    <comment authorId="0" ref="D28">
      <text>
        <t xml:space="preserve">ПЕРСОНАЖИ:
ТАРТАЛЬЯ💧
АЯТО💧</t>
      </text>
    </comment>
    <comment authorId="0" ref="B29">
      <text>
        <t xml:space="preserve">Песнь былых времён - ПОЛНОЕ НАЗВАНИЕ☢️</t>
      </text>
    </comment>
    <comment authorId="0" ref="C29">
      <text>
        <t xml:space="preserve">СЧЁТ:
2 Куска = 19,5 СТ
4 Куска = 40 СТ</t>
      </text>
    </comment>
    <comment authorId="0" ref="D29">
      <text>
        <t xml:space="preserve">ЛЮБОЙ ХИЛЛЕР ИГРЫ!❤️
ДАЖЕ МОЖНО ДАТЬ КАТАЛИЗАТОРАМ С ЯНТАРЁМ.
ВЕДЬ ХИЛЛА НАМ ДАЖЕ С ЯНТАРЯ ХВАТИТ ДЛЯ АКТИВАЦИИ ПАССИВКИ!</t>
      </text>
    </comment>
    <comment authorId="0" ref="B30">
      <text>
        <t xml:space="preserve">Моллюск морских красок - ПОЛНОЕ НАЗВАНИЕ☢️</t>
      </text>
    </comment>
    <comment authorId="0" ref="C30">
      <text>
        <t xml:space="preserve">СЧЁТ:
2 Куска = 19,5 СТ
4 Куска = 20-60 СТ</t>
      </text>
    </comment>
    <comment authorId="0" ref="D30">
      <text>
        <t xml:space="preserve">ПОДОЙДЁТ ЛЮБОМУ МАССОВОМУ ХИЛЛЕРУ!
ХИЛ ДЛЯ СЕТА НАБИРАЕТСЯ И КАРМАННЫЙ, И В ПЕРЕИЗБЫТКЕ!
ТАК ЖЕ УРОН ЖЕ БУДЕТ ФИЗ., А ЗНАЧИТ РАЗОГНАТЬ ЕГО МОЖНО ЧЕРЕЗ ФИЗ ПОРЕЗКУ (НАПРИМЕР ❄️⚡️ ИЛИ С6 РОЗАРИИ).
БОНУС ФИЗУХИ У ПЕРСОНАЖА УРОН ПУЗЫРЯ НЕ УВЕЛИЧИВАЕТ!</t>
      </text>
    </comment>
    <comment authorId="0" ref="B31">
      <text>
        <t xml:space="preserve">Бледный огонь - ПОЛНОЕ НАЗВАНИЕ☢️</t>
      </text>
    </comment>
    <comment authorId="0" ref="C31">
      <text>
        <t xml:space="preserve">СЧЁТ:
2 Куска = 20 СТ
4 Куска = 38 СТ</t>
      </text>
    </comment>
    <comment authorId="0" ref="D31">
      <text>
        <t xml:space="preserve">ПЕРСОНАЖИ:
ЭОЛА❄️
ФРЕМИНЕ❄️
РЭЙЗОР⚡️
СПОРНО⛔️:
СИНЬ ЯНЬ🔥</t>
      </text>
    </comment>
    <comment authorId="0" ref="B32">
      <text>
        <t xml:space="preserve">Отголоски подношения - ПОЛНОЕ НАЗВАНИЕ☢️</t>
      </text>
    </comment>
    <comment authorId="0" ref="C32">
      <text>
        <t xml:space="preserve">СЧЁТ:
2 Куска = 18 СТ
4 Куска = 38 СТ</t>
      </text>
    </comment>
    <comment authorId="0" ref="D32">
      <text>
        <t xml:space="preserve">ПЕРСОНАЖИ:
АЯТО💧
ЁИМИЯ🔥
СКИРК❄️
КЛОРИНДА⚡️
АРЛЕКИНО🔥
СТРАННИК💨
</t>
      </text>
    </comment>
    <comment authorId="0" ref="B33">
      <text>
        <t xml:space="preserve">Странствующий ансамбль - ПОЛНОЕ НАЗВАНИЕ☢️</t>
      </text>
    </comment>
    <comment authorId="0" ref="C33">
      <text>
        <t xml:space="preserve">СЧЁТ:
2 Куска = 20 СТ
4 Куска = 35 СТ</t>
      </text>
    </comment>
    <comment authorId="0" ref="D33">
      <text>
        <t xml:space="preserve">ПЕРСОНАЖИ:
ЧАСКА💨
РИЗЛИ❄️
НЁВИЛЛЕТ💧
ЛИНИ🔥(В ПАРЕ\ТАЯНИЕ)
ГАНЬ ЮЙ❄️
ТИГНАРИ☘️
СЕТОС⚡️
КЛИ🔥
ЯНЬ ФЭЙ🔥
МОНА С6💧</t>
      </text>
    </comment>
    <comment authorId="0" ref="B34">
      <text>
        <t xml:space="preserve">Хроники Чертогов в пустыне - ПОЛНОЕ НАЗВАНИЕ☢️</t>
      </text>
    </comment>
    <comment authorId="0" ref="C34">
      <text>
        <t xml:space="preserve">СЧЁТ:
2 Куска = 15 СТ
4 Куска = 40 СТ</t>
      </text>
    </comment>
    <comment authorId="0" ref="D34">
      <text>
        <t xml:space="preserve">ПЕРСОНАЖИ:
СТРАННИК💨
СПОРНО⛔️:
ЧАСКА💨
СЯО💨</t>
      </text>
    </comment>
    <comment authorId="0" ref="B35">
      <text>
        <t xml:space="preserve">Конец гладиатора - ПОЛНОЕ НАЗВАНИЕ☢️</t>
      </text>
    </comment>
    <comment authorId="0" ref="C35">
      <text>
        <t xml:space="preserve">СЧЁТ:
2 Куска = 18 СТ
4 Куска = 35 СТ</t>
      </text>
    </comment>
    <comment authorId="0" ref="D35">
      <text>
        <t xml:space="preserve">ПЕРСОНАЖИ:
СКИРК❄️
КЛОРИНДА⚡️
АРЛЕКИНО🔥
ФРЕМИНЕ❄️
САЙНО⚡️
РЭЙЗОР⚡️
АЯТО💧
СПОРНО⛔️:
ЭОЛА❄️
НАВИЯ💎
МАВУИКА🔥</t>
      </text>
    </comment>
    <comment authorId="0" ref="B36">
      <text>
        <t xml:space="preserve">Встречная комета - ПОЛНОЕ НАЗВАНИЕ☢️</t>
      </text>
    </comment>
    <comment authorId="0" ref="C36">
      <text>
        <t xml:space="preserve">СЧЁТ:
2 Куска = 10 СТ
4 Куска = 40 СТ</t>
      </text>
    </comment>
    <comment authorId="0" ref="D36">
      <text>
        <t xml:space="preserve">ПОДОЙДЁТ ЛЮБОМУ ДД ОТ ЗАРЯЖЕННЫХ И ОБЫЧНЫХ УДАРОВ. ПРОСТО НАДО ИСПОЛЬЗОВАТЬ ЩИТ!</t>
      </text>
    </comment>
    <comment authorId="0" ref="B37">
      <text>
        <t xml:space="preserve">Изгнанник - ПОЛНОЕ НАЗВАНИЕ☢️</t>
      </text>
    </comment>
    <comment authorId="0" ref="C37">
      <text>
        <t xml:space="preserve">СЧЁТ:
2 Куска = 18 СТ
4 Куска = 30 СТ</t>
      </text>
    </comment>
    <comment authorId="0" ref="D37">
      <text>
        <t xml:space="preserve">ОЧЕНЬ ПОХОЖЕ НА ЦЕРЕМОНИЮ, ТОЛЬКО ВМЕСТО СА, ДАЁТ ЭНЕРГИЮ ВСЕЙ ПАЧКЕ. ОСТАЛОСЬ ТОЛЬКО НАЖАТЬ УЛЬТУ. 
⛔️ПОЭТОМУ ПОСТАВИТЬ МОЖНО НА ЛЮБОГО САППОРТА! У КОТОРОГО НЕТ СВОЕГО УРОНА И СТАБИЛЬНЫЙ УЛЬТ!⛔️</t>
      </text>
    </comment>
    <comment authorId="0" ref="B38">
      <text>
        <t xml:space="preserve">Горящая алая ведьма - ПОЛНОЕ НАЗВАНИЕ☢️</t>
      </text>
    </comment>
    <comment authorId="0" ref="C38">
      <text>
        <t xml:space="preserve">СЧЁТ:
2 Куска = 15 СТ
4 Куска = 20-42.5 СТ</t>
      </text>
    </comment>
    <comment authorId="0" ref="D38">
      <text>
        <t xml:space="preserve">ПЕРСОНАЖИ:
КАМИН🔥
ДЭХЬЯ🔥
ДИЛЮК🔥
КЛИ🔥
СПОРНО⛔️:
В ЦЕЛОМ МОЖНО ПОСТАВИТЬ НА ЛЮБОГО ПИРО ДД, НО ПОЛЬЗА БУДЕТ МАЛЕНЬКАЯ. ВЕДЬ МЫ ПОЛУЧИМ ПРОСТО 7,5% АФФИКСА И ВСЁ...</t>
      </text>
    </comment>
    <comment authorId="0" ref="B39">
      <text>
        <t xml:space="preserve">Усмиряющий гром - ПОЛНОЕ НАЗВАНИЕ☢️</t>
      </text>
    </comment>
    <comment authorId="0" ref="C39">
      <text>
        <t xml:space="preserve">СЧЁТ:
2 Куска = 10 СТ
4 Куска = 35 СТ</t>
      </text>
    </comment>
    <comment authorId="0" ref="D39">
      <text>
        <t xml:space="preserve">ПОСТАВИТЬ МОЖНО НА ЛЮБОГО ДД, ГЛАВНОЕ ЭТО БИТЬ ПО ЭЛЕКТРО!</t>
      </text>
    </comment>
    <comment authorId="0" ref="B40">
      <text>
        <t xml:space="preserve">Ступающий по лаве - ПОЛНОЕ НАЗВАНИЕ☢️</t>
      </text>
    </comment>
    <comment authorId="0" ref="C40">
      <text>
        <t xml:space="preserve">СЧЁТ:
2 Куска = 10 СТ
4 Куска = 35 СТ</t>
      </text>
    </comment>
    <comment authorId="0" ref="D40">
      <text>
        <t xml:space="preserve">ПОСТАВИТЬ МОЖНО НА ЛЮБОГО ДД, ГЛАВНОЕ ЭТО БИТЬ ПО ПИРО!</t>
      </text>
    </comment>
    <comment authorId="0" ref="B41">
      <text>
        <t xml:space="preserve">Громогласный рёв ярости - ПОЛНОЕ НАЗВАНИЕ☢️</t>
      </text>
    </comment>
    <comment authorId="0" ref="C41">
      <text>
        <t xml:space="preserve">СЧЁТ:
2 Куска = 15 СТ
4 Куска = 20 СТ
ПЕРЕЗАРЯДКА ЕШКИ ПОДСЧЁТУ КОНЕЧНО НЕ ПОДДАЁТСЯ... НО ПО ПОЛЬЗЕ СЕТ БУДЕТ НЕ ХУЖЕ ГЛУБИН!
ПОЭТОМУ 10 СТ ЗА КД ДАМ!</t>
      </text>
    </comment>
    <comment authorId="0" ref="D41">
      <text>
        <t xml:space="preserve">ПЕРСОНАЖИ:
КЭ ЦИН⚡️
ФИШЛЬ⚡️
БЭЙ ДОУ⚡️
РЭЙЗОР⚡️
СИНОБУ⚡️
ДОРИ⚡️
САЙНО⚡️
КЛОРИНДА⚡️
СЕТОС⚡️
СПОРНО⛔️:
ЛИЗА⚡️
ВАРЕСА⚡️
</t>
      </text>
    </comment>
    <comment authorId="0" ref="B42">
      <text>
        <t xml:space="preserve">Сердце глубин - ПОЛНОЕ НАЗВАНИЕ☢️</t>
      </text>
    </comment>
    <comment authorId="0" ref="C42">
      <text>
        <t xml:space="preserve">СЧЁТ:
2 Куска = 15 СТ
4 Куска = 30 СТ</t>
      </text>
    </comment>
    <comment authorId="0" ref="D42">
      <text>
        <t xml:space="preserve">ПЕРСОНАЖИ:
АЯТО💧
МУАЛАНИ💧
НЁВИЛЛЕТ💧
ТАРТАЛЬЯ💧
КОКОМИ💧</t>
      </text>
    </comment>
    <comment authorId="0" ref="B43">
      <text>
        <t xml:space="preserve">Возлюбленная юная дева - ПОЛНОЕ НАЗВАНИЕ☢️</t>
      </text>
    </comment>
    <comment authorId="0" ref="C43">
      <text>
        <t xml:space="preserve">СЧЁТ:
2 Куска = 19.5 СТ
4 Куска = 20 СТ</t>
      </text>
    </comment>
    <comment authorId="0" ref="D43">
      <text>
        <t xml:space="preserve">ЛЮБОЙ ХИЛЛЕР ИГРЫ!❤️
ДАЖЕ МОЖНО ДАТЬ КАТАЛИЗАТОРАМ С ЯНТАРЁМ. ХИЛЛ ЖЕ ТОЖЕ СТАНЕТ ЛУЧШЕ. ПРИЧЁМ ПРИЛИЧНО!
ДД КАТАЛИЗАТОРАМ ПОНЯТНОЕ ДЕЛО ДАВАТЬ НЕ БУДЕМ!</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ОРУЖИЕ МОЖНО ГЛЯНУТЬ ЗДЕСЬ: https://gi.yatta.moe/ru/archive/weapon</t>
      </text>
    </comment>
    <comment authorId="0" ref="B1">
      <text>
        <t xml:space="preserve">ЗДЕСЬ УКАЗАНА ОБЩАЯ ЭФФЕКТИВНОСТЬ ОРУЖИЯ! 
ТО ЕСТЬ ПОЛЬЗА ОТ ЦИФЕР ДЛЯ КОМАНДЫ.
ЧЕМ БОЛЬШЕ ЦИФЕР, ТЕМ ПОЛЕЗНЕЙ ОРУЖИЕ!
1 = ЭТО ЗАЧАСТУЮ 3 -1⭐️ ОРУЖИЕ
2 = ЭТО ЗАЧАСТУЮ ПЛОХОЕ 4⭐️ ОРУЖИЕ
3 = ОБЫЧНОЕ 4⭐️ или ПЛОХОЕ 5⭐️ ОРУЖИЕ
4 = ОБЫЧНОЕ 5⭐️ или ХОРОШОЕ 4⭐️ ОРУЖИЕ
5 = ХОРОШОЕ 5⭐️ ОРУЖИЕ
ЕСЛИ ОРУЖИЕ ИМЕЕТ МАССОВЫЙ БАФФ, ТО ЭТО 5+ ВСЕГДА!
ЗАЛИВКА ФАВОНИЯ ТОЖЕ МАССОВЫЙ БАФФ ЭНЕРГИИ ДЛЯ ПАЧКИ!</t>
      </text>
    </comment>
    <comment authorId="0" ref="C1">
      <text>
        <t xml:space="preserve">ЗА КАЖДОГО ПЕРСОНАЖА, КОТОРЫЙ МОЖЕТ ИСПОЛЬЗОВАТЬ ОРУЖИЕ ЭФФЕКТИВНО, 
МЫ ПОЛУЧАЕМ +1 БАЛЛ!
ЕСЛИ ПЕРСОНАЖЕЙ ОЧЕНЬ МНОГО, ТО МЫ СТАВИМ 5+
ЕСЛИ ОРУЖИЕ ЛЕГКО ПЕРЕБИТЬ ПО ЦИФРАМ, ТО БАЛЛ ПАДАЕТ В 2 РАЗА
НАПРИМЕР 5+ БУДЕТ 3 БАЛЛА ТЕПЕРЬ!
⛔️ИМЕННО У МЕЧНИКОВ СЛИШКОМ МНОГО ПЕРСОНАЖЕЙ. ИЗ-ЗА ЧЕГО ГИБКОСТЬ ПОСТОЯННО БУДЕТ ВЫСОКАЯ! НО КАЖДОЕ ОРУЖИЕ ИМЕЕТ ОТДЕЛЬНЫЙ СЧЁТ, ПОЭТОМУ НЕ СТРАШНО! 
КОРОЧЕ НЕ СТОИТ СРАВНИВАТЬ ИТОГ ОДНОГО ТИПА ОРУЖИЯ С ДРУГИМ. СМОТРИТЕ ТИР ТОЛЬКО В РАМКАХ ОДНОЙ ПУШКИ!⛔️</t>
      </text>
    </comment>
    <comment authorId="0" ref="D1">
      <text>
        <t xml:space="preserve">КОСТ или СТОИМОСТЬ
ВСЁ ПРОСТО!
5+ = 3⭐️ ОРУЖИЕ
5 = КРАФТОВОЕ ОРУЖИЕ
4 = 4⭐️ ОРУЖИЕ, КОТОРОЕ ПАДАЕТ ИЗ ВСЕХ БАННЕРОВ \ ЗА КЭШ БЭК
3 = 5\4⭐️ ОРУЖИЕ ИЗ БАННЕРОВ. СТАНДАРТНОЕ ТОЖЕ! (ХОТЯ ТАМ РАНДОМ ЛЮТЫЙ...)
2 = ОРУЖИЕ ЗА БП
1 = ИВЕНТОВОЕ ОРУЖИЕ (ПОТОМУ ЧТО ЕГО УЖЕ НЕ ДОСТАТЬ! НИКАК!)
</t>
      </text>
    </comment>
    <comment authorId="0" ref="E1">
      <text>
        <t xml:space="preserve">ИТОГ ЭТО ПРОСТО СУММА ВСЕХ БАЛЛОВ</t>
      </text>
    </comment>
    <comment authorId="0" ref="G1">
      <text>
        <t xml:space="preserve">ОРУЖИЕ МОЖНО ГЛЯНУТЬ ЗДЕСЬ: https://gi.yatta.moe/ru/archive/weapon</t>
      </text>
    </comment>
    <comment authorId="0" ref="H1">
      <text>
        <t xml:space="preserve">ЗДЕСЬ УКАЗАНА ОБЩАЯ ЭФФЕКТИВНОСТЬ ОРУЖИЯ! 
ТО ЕСТЬ ПОЛЬЗА ОТ ЦИФЕР ДЛЯ КОМАНДЫ.
ЧЕМ БОЛЬШЕ ЦИФЕР, ТЕМ ПОЛЕЗНЕЙ ОРУЖИЕ!
1 = ЭТО ЗАЧАСТУЮ 3 -1⭐️ ОРУЖИЕ
2 = ЭТО ЗАЧАСТУЮ ПЛОХОЕ 4⭐️ ОРУЖИЕ
3 = ОБЫЧНОЕ 4⭐️ или ПЛОХОЕ 5⭐️ ОРУЖИЕ
4 = ОБЫЧНОЕ 5⭐️ или ХОРОШОЕ 4⭐️ ОРУЖИЕ
5 = ХОРОШОЕ 5⭐️ ОРУЖИЕ
ЕСЛИ ОРУЖИЕ ИМЕЕТ МАССОВЫЙ БАФФ, ТО ЭТО 5+ ВСЕГДА!
ЗАЛИВКА ФАВОНИЯ ТОЖЕ МАССОВЫЙ БАФФ ЭНЕРГИИ ДЛЯ ПАЧКИ!</t>
      </text>
    </comment>
    <comment authorId="0" ref="I1">
      <text>
        <t xml:space="preserve">ЗА КАЖДОГО ПЕРСОНАЖА, КОТОРЫЙ МОЖЕТ ИСПОЛЬЗОВАТЬ ОРУЖИЕ ЭФФЕКТИВНО, 
МЫ ПОЛУЧАЕМ +1 БАЛЛ!
ЕСЛИ ПЕРСОНАЖЕЙ ОЧЕНЬ МНОГО, ТО МЫ СТАВИМ 5+
ЕСЛИ ОРУЖИЕ ЛЕГКО ПЕРЕБИТЬ ПО ЦИФРАМ, ТО БАЛЛ ПАДАЕТ В 2 РАЗА
НАПРИМЕР 5+ БУДЕТ 3 БАЛЛА ТЕПЕРЬ!
⛔️ИМЕННО У КАТАЛИЗАТОРОВ СЛИШКОМ МНОГО ПЕРСОНАЖЕЙ. ИЗ-ЗА ЧЕГО ГИБКОСТЬ ПОСТОЯННО БУДЕТ ВЫСОКАЯ! НО КАЖДОЕ ОРУЖИЕ ИМЕЕТ ОТДЕЛЬНЫЙ СЧЁТ, ПОЭТОМУ НЕ СТРАШНО! 
КОРОЧЕ НЕ СТОИТ СРАВНИВАТЬ ИТОГ ОДНОГО ТИПА ОРУЖИЯ С ДРУГИМ. СМОТРИТЕ ТИР ТОЛЬКО В РАМКАХ ОДНОЙ ПУШКИ!⛔️</t>
      </text>
    </comment>
    <comment authorId="0" ref="J1">
      <text>
        <t xml:space="preserve">КОСТ или СТОИМОСТЬ
ВСЁ ПРОСТО!
5+ = 3⭐️ ОРУЖИЕ
5 = КРАФТОВОЕ ОРУЖИЕ
4 = 4⭐️ ОРУЖИЕ, КОТОРОЕ ПАДАЕТ ИЗ ВСЕХ БАННЕРОВ \ ЗА КЭШ БЭК
3 = 5\4⭐️ ОРУЖИЕ ИЗ БАННЕРОВ. СТАНДАРТНОЕ ТОЖЕ! (ХОТЯ ТАМ РАНДОМ ЛЮТЫЙ...)
2 = ОРУЖИЕ ЗА БП
1 = ИВЕНТОВОЕ ОРУЖИЕ (ПОТОМУ ЧТО ЕГО УЖЕ НЕ ДОСТАТЬ! НИКАК!)</t>
      </text>
    </comment>
    <comment authorId="0" ref="K1">
      <text>
        <t xml:space="preserve">ИТОГ ЭТО ПРОСТО СУММА ВСЕХ БАЛЛОВ</t>
      </text>
    </comment>
    <comment authorId="0" ref="M1">
      <text>
        <t xml:space="preserve">ОРУЖИЕ МОЖНО ГЛЯНУТЬ ЗДЕСЬ: https://gi.yatta.moe/ru/archive/weapon</t>
      </text>
    </comment>
    <comment authorId="0" ref="N1">
      <text>
        <t xml:space="preserve">ЗДЕСЬ УКАЗАНА ОБЩАЯ ЭФФЕКТИВНОСТЬ ОРУЖИЯ! 
ТО ЕСТЬ ПОЛЬЗА ОТ ЦИФЕР ДЛЯ КОМАНДЫ.
ЧЕМ БОЛЬШЕ ЦИФЕР, ТЕМ ПОЛЕЗНЕЙ ОРУЖИЕ!
1 = ЭТО ЗАЧАСТУЮ 3 -1⭐️ ОРУЖИЕ
2 = ЭТО ЗАЧАСТУЮ ПЛОХОЕ 4⭐️ ОРУЖИЕ
3 = ОБЫЧНОЕ 4⭐️ или ПЛОХОЕ 5⭐️ ОРУЖИЕ
4 = ОБЫЧНОЕ 5⭐️ или ХОРОШОЕ 4⭐️ ОРУЖИЕ
5 = ХОРОШОЕ 5⭐️ ОРУЖИЕ
ЕСЛИ ОРУЖИЕ ИМЕЕТ МАССОВЫЙ БАФФ, ТО ЭТО 5+ ВСЕГДА!
ЗАЛИВКА ФАВОНИЯ ТОЖЕ МАССОВЫЙ БАФФ ЭНЕРГИИ ДЛЯ ПАЧКИ!</t>
      </text>
    </comment>
    <comment authorId="0" ref="O1">
      <text>
        <t xml:space="preserve">ЗА КАЖДОГО ПЕРСОНАЖА, КОТОРЫЙ МОЖЕТ ИСПОЛЬЗОВАТЬ ОРУЖИЕ ЭФФЕКТИВНО, 
МЫ ПОЛУЧАЕМ +1 БАЛЛ!
ЕСЛИ ПЕРСОНАЖЕЙ ОЧЕНЬ МНОГО, ТО МЫ СТАВИМ 5+
ЕСЛИ ОРУЖИЕ ЛЕГКО ПЕРЕБИТЬ ПО ЦИФРАМ, ТО БАЛЛ ПАДАЕТ В 2 РАЗА
НАПРИМЕР 5+ БУДЕТ 3 БАЛЛА ТЕПЕРЬ!</t>
      </text>
    </comment>
    <comment authorId="0" ref="P1">
      <text>
        <t xml:space="preserve">КОСТ или СТОИМОСТЬ
ВСЁ ПРОСТО!
5+ = 3⭐️ ОРУЖИЕ
5 = КРАФТОВОЕ ОРУЖИЕ
4 = 4⭐️ ОРУЖИЕ, КОТОРОЕ ПАДАЕТ ИЗ ВСЕХ БАННЕРОВ \ ЗА КЭШ БЭК
3 = 5\4⭐️ ОРУЖИЕ ИЗ БАННЕРОВ. СТАНДАРТНОЕ ТОЖЕ! (ХОТЯ ТАМ РАНДОМ ЛЮТЫЙ...)
2 = ОРУЖИЕ ЗА БП
1 = ИВЕНТОВОЕ ОРУЖИЕ (ПОТОМУ ЧТО ЕГО УЖЕ НЕ ДОСТАТЬ! НИКАК!)</t>
      </text>
    </comment>
    <comment authorId="0" ref="Q1">
      <text>
        <t xml:space="preserve">ИТОГ ЭТО ПРОСТО СУММА ВСЕХ БАЛЛОВ</t>
      </text>
    </comment>
    <comment authorId="0" ref="S1">
      <text>
        <t xml:space="preserve">ОРУЖИЕ МОЖНО ГЛЯНУТЬ ЗДЕСЬ: https://gi.yatta.moe/ru/archive/weapon</t>
      </text>
    </comment>
    <comment authorId="0" ref="T1">
      <text>
        <t xml:space="preserve">ЗДЕСЬ УКАЗАНА ОБЩАЯ ЭФФЕКТИВНОСТЬ ОРУЖИЯ! 
ТО ЕСТЬ ПОЛЬЗА ОТ ЦИФЕР ДЛЯ КОМАНДЫ.
ЧЕМ БОЛЬШЕ ЦИФЕР, ТЕМ ПОЛЕЗНЕЙ ОРУЖИЕ!
1 = ЭТО ЗАЧАСТУЮ 3 -1⭐️ ОРУЖИЕ
2 = ЭТО ЗАЧАСТУЮ ПЛОХОЕ 4⭐️ ОРУЖИЕ
3 = ОБЫЧНОЕ 4⭐️ или ПЛОХОЕ 5⭐️ ОРУЖИЕ
4 = ОБЫЧНОЕ 5⭐️ или ХОРОШОЕ 4⭐️ ОРУЖИЕ
5 = ХОРОШОЕ 5⭐️ ОРУЖИЕ
ЕСЛИ ОРУЖИЕ ИМЕЕТ МАССОВЫЙ БАФФ, ТО ЭТО 5+ ВСЕГДА!
ЗАЛИВКА ФАВОНИЯ ТОЖЕ МАССОВЫЙ БАФФ ЭНЕРГИИ ДЛЯ ПАЧКИ!</t>
      </text>
    </comment>
    <comment authorId="0" ref="U1">
      <text>
        <t xml:space="preserve">ЗА КАЖДОГО ПЕРСОНАЖА, КОТОРЫЙ МОЖЕТ ИСПОЛЬЗОВАТЬ ОРУЖИЕ ЭФФЕКТИВНО, 
МЫ ПОЛУЧАЕМ +1 БАЛЛ!
ЕСЛИ ПЕРСОНАЖЕЙ ОЧЕНЬ МНОГО, ТО МЫ СТАВИМ 5+
ЕСЛИ ОРУЖИЕ ЛЕГКО ПЕРЕБИТЬ ПО ЦИФРАМ, ТО БАЛЛ ПАДАЕТ В 2 РАЗА
НАПРИМЕР 5+ БУДЕТ 3 БАЛЛА ТЕПЕРЬ!</t>
      </text>
    </comment>
    <comment authorId="0" ref="V1">
      <text>
        <t xml:space="preserve">КОСТ или СТОИМОСТЬ
ВСЁ ПРОСТО!
5+ = 3⭐️ ОРУЖИЕ
5 = КРАФТОВОЕ ОРУЖИЕ
4 = 4⭐️ ОРУЖИЕ, КОТОРОЕ ПАДАЕТ ИЗ ВСЕХ БАННЕРОВ  \ ЗА КЭШ БЭК
3 = 5\4⭐️ ОРУЖИЕ ИЗ БАННЕРОВ. СТАНДАРТНОЕ ТОЖЕ! (ХОТЯ ТАМ РАНДОМ ЛЮТЫЙ...)
2 = ОРУЖИЕ ЗА БП
1 = ИВЕНТОВОЕ ОРУЖИЕ (ПОТОМУ ЧТО ЕГО УЖЕ НЕ ДОСТАТЬ! НИКАК!)</t>
      </text>
    </comment>
    <comment authorId="0" ref="W1">
      <text>
        <t xml:space="preserve">ИТОГ ЭТО ПРОСТО СУММА ВСЕХ БАЛЛОВ</t>
      </text>
    </comment>
    <comment authorId="0" ref="Y1">
      <text>
        <t xml:space="preserve">ОРУЖИЕ МОЖНО ГЛЯНУТЬ ЗДЕСЬ: https://gi.yatta.moe/ru/archive/weapon</t>
      </text>
    </comment>
    <comment authorId="0" ref="Z1">
      <text>
        <t xml:space="preserve">ЗДЕСЬ УКАЗАНА ОБЩАЯ ЭФФЕКТИВНОСТЬ ОРУЖИЯ! 
ТО ЕСТЬ ПОЛЬЗА ОТ ЦИФЕР ДЛЯ КОМАНДЫ.
ЧЕМ БОЛЬШЕ ЦИФЕР, ТЕМ ПОЛЕЗНЕЙ ОРУЖИЕ!
1 = ЭТО ЗАЧАСТУЮ 3 -1⭐️ ОРУЖИЕ
2 = ЭТО ЗАЧАСТУЮ ПЛОХОЕ 4⭐️ ОРУЖИЕ
3 = ОБЫЧНОЕ 4⭐️ или ПЛОХОЕ 5⭐️ ОРУЖИЕ
4 = ОБЫЧНОЕ 5⭐️ или ХОРОШОЕ 4⭐️ ОРУЖИЕ
5 = ХОРОШОЕ 5⭐️ ОРУЖИЕ
ЕСЛИ ОРУЖИЕ ИМЕЕТ МАССОВЫЙ БАФФ, ТО ЭТО 5+ ВСЕГДА!
ЗАЛИВКА ФАВОНИЯ ТОЖЕ МАССОВЫЙ БАФФ ЭНЕРГИИ ДЛЯ ПАЧКИ!</t>
      </text>
    </comment>
    <comment authorId="0" ref="AA1">
      <text>
        <t xml:space="preserve">ЗА КАЖДОГО ПЕРСОНАЖА, КОТОРЫЙ МОЖЕТ ИСПОЛЬЗОВАТЬ ОРУЖИЕ ЭФФЕКТИВНО, 
МЫ ПОЛУЧАЕМ +1 БАЛЛ!
ЕСЛИ ПЕРСОНАЖЕЙ ОЧЕНЬ МНОГО, ТО МЫ СТАВИМ 5+
(6+ НОСИТЕЛЕЙ)
ЕСЛИ ОРУЖИЕ ЛЕГКО ПЕРЕБИТЬ ПО ЦИФРАМ, ТО БАЛЛ ПАДАЕТ В 2 РАЗА
НАПРИМЕР 5+ БУДЕТ 3 БАЛЛА ТЕПЕРЬ!</t>
      </text>
    </comment>
    <comment authorId="0" ref="AB1">
      <text>
        <t xml:space="preserve">КОСТ или СТОИМОСТЬ
ВСЁ ПРОСТО!
5+ = 3⭐️ ОРУЖИЕ
5 = КРАФТОВОЕ ОРУЖИЕ
4 = 4⭐️ ОРУЖИЕ, КОТОРОЕ ПАДАЕТ ИЗ ВСЕХ БАННЕРОВ \ ЗА КЭШ БЭК
3 = 5\4⭐️ ОРУЖИЕ ИЗ БАННЕРОВ. СТАНДАРТНОЕ ТОЖЕ! (ХОТЯ ТАМ РАНДОМ ЛЮТЫЙ...)
2 = ОРУЖИЕ ЗА БП
1 = ИВЕНТОВОЕ ОРУЖИЕ (ПОТОМУ ЧТО ЕГО УЖЕ НЕ ДОСТАТЬ! НИКАК!)</t>
      </text>
    </comment>
    <comment authorId="0" ref="AC1">
      <text>
        <t xml:space="preserve">ИТОГ ЭТО ПРОСТО СУММА ВСЕХ БАЛЛОВ</t>
      </text>
    </comment>
    <comment authorId="0" ref="B2">
      <text>
        <t xml:space="preserve">УСТУПАЕТ МНОГИМ 5⭐️ ПУШКАМ, НО ПРЕВОСХОДИТ МНОГИЕ 4⭐️. КОРОЧЕ 4,5 БАЛЛОВ</t>
      </text>
    </comment>
    <comment authorId="0" ref="C2">
      <text>
        <t xml:space="preserve">ГЛАВНОЕ ПОД ФУРИНУ НЕ СТАВЬТЕ. ВЕДЬ РАБОТАТЬ ОНА НЕ БУДЕТ БЕЗ ТОП ХИЛЛА. НО ДЕЛАЯ ВСЁ ПРАВИЛЬНО, У ВАС БУДЕТ ТУПО ОДНА С ЛУЧШИХ КРИТОВЫХ ЗАТЫЧЕК В ИГРЕ!
ХАХАХА! ОЧЕРЕДНАЯ ЗЫТЫЧКА...</t>
      </text>
    </comment>
    <comment authorId="0" ref="H2">
      <text>
        <t xml:space="preserve">ХОТЬ И БАФФ В ОДНОГО, НО ОН НАСТОЛЬКО СИЛЬНЫЙ, ЧТО УСТУПИТ ТОЛЬКО 5⭐️ САП ПУШКАМ. И ТО! МОМЕНТАМИ НЕ СЛАБЕЙ...
КОРОЧЕ НЕРАЛЬНО СИЛЬНАЯ ПУШКА!</t>
      </text>
    </comment>
    <comment authorId="0" ref="I2">
      <text>
        <t xml:space="preserve">ПОДХОДИТ АБСОЛЮТНО ЛЮБОМУ САПУ. ДАЖЕ ЕСЛИ ЕМУ ХП НЕ НАДО. В ЛЮБОМ СЛУЧАЕ ЭТО БУДЕТ +ВЫЖИВАЕМОСТЬ!</t>
      </text>
    </comment>
    <comment authorId="0" ref="O2">
      <text>
        <t xml:space="preserve">СТАВЬ ЛЮБОМУ САППОРТУ!</t>
      </text>
    </comment>
    <comment authorId="0" ref="U2">
      <text>
        <t xml:space="preserve">СТАВЬ ЛЮБОМУ САППОРТУ!</t>
      </text>
    </comment>
    <comment authorId="0" ref="AA2">
      <text>
        <t xml:space="preserve">СТАВЬ ЛЮБОМУ САППОРТУ!</t>
      </text>
    </comment>
    <comment authorId="0" ref="C3">
      <text>
        <t xml:space="preserve">СТАВЬ ЛЮБОМУ САППОРТУ!</t>
      </text>
    </comment>
    <comment authorId="0" ref="H3">
      <text>
        <t xml:space="preserve">СИЛЬНО НЕДООЦЕНЁННАЯ ПУШКА, ВЕДЬ ПО ФАКТУ РАБОТАЕТ ПОЧТИ ВЕЗДЕ И ДАЁТ ЦЕЛЫХ 20 АФФИКСА, ЧТО ПО СИЛЕ ПРЕВОСХОДИТ МНОГИЕ 5⭐️
⛔️НЕ РАБОТАЕТ С КАРМАНА⛔️</t>
      </text>
    </comment>
    <comment authorId="0" ref="I3">
      <text>
        <t xml:space="preserve">ПОСТАВИТЬ МОЖНО НА КОГО УГОДНО! НЕ ОБЬЯЗАТЕЛЬНО ЭЛЕКТРО ПЕРСОНАЖ</t>
      </text>
    </comment>
    <comment authorId="0" ref="O3">
      <text>
        <t xml:space="preserve">УЧИТЫВАЯ ЧТО ОН 3⭐️ И ПРИ ЭТОМ КОНКУРИРУЕТ С ЛУЧШИМИ 4⭐️ ЛУКАМИ
ТО МОЖНО СПОКОЙНО 5+ СТАВИТЬ. ХОТЬ ОН И ЗАМЕНИМ
А ПОДХОДИТ ОН КСТАТИ ЛЮБОМУ ЛУЧНИКУ ОТ ОБЫЧНЫХ И ЗАРЯЖЕННЫХ УДАРОВ, КРОМЕ ТАРТАЛЬИ. В БЛИЖНЕЙ СТОЙКИ РОГАТКА НЕ АКТИВИРУЕТСЯ!</t>
      </text>
    </comment>
    <comment authorId="0" ref="U3">
      <text>
        <t xml:space="preserve">ПЕРСОНАЖИ:
ЯО ЯО
ТОМА
РАЙДЭН
КАНДАКИЯ
СЯН ЛИН</t>
      </text>
    </comment>
    <comment authorId="0" ref="Z3">
      <text>
        <t xml:space="preserve">ХОТЬ И БАФФ, НО ТОЛЬКО В ОДНОГО... И ТОТ НЕ ОЧЕНЬ СИЛЬНЫЙ... И ТОТ ПРИ НЕ САМОМ ПРОСТОМ УСЛОВИИ... ПОЭТОМУ 4,5 БАЛЛА</t>
      </text>
    </comment>
    <comment authorId="0" ref="AA3">
      <text>
        <t xml:space="preserve">ПЕРСОНАЖИ:
КАВЕХ
ДОРИ
БЭЙ ДОУ
ДЭХЬЯ
САЮ(ОТ РАССЕИВАНИЯ)
АЙНО</t>
      </text>
    </comment>
    <comment authorId="0" ref="B4">
      <text>
        <t xml:space="preserve">ХОТЬ И БАФФ, НО ТОЛЬКО В ОДНОГО... И ТОТ НЕ ОЧЕНЬ СИЛЬНЫЙ... И ТОТ ПРИ НЕ САМОМ ПРОСТОМ УСЛОВИИ... ПОЭТОМУ 4,5 БАЛЛА</t>
      </text>
    </comment>
    <comment authorId="0" ref="C4">
      <text>
        <t xml:space="preserve">ПЕРСОНАЖИ:
БЕННЕТ
КИРАРА
СИНОБУ
ДАЛИЯ
СИН ЦЮ
ГГ
НИЛУ(0,5)</t>
      </text>
    </comment>
    <comment authorId="0" ref="H4">
      <text>
        <t xml:space="preserve">МАССОВЫЙ ХИЛ ЭТО КОНЕЧНО ХОРОШО, НО НА 5+ НЕ ТЯНЕТ!
ХОТЯ ЧИСТО ИЗ-ЗА ФУРИНЫ 5 ПОСТАВИТЬ МОЖНО! ТА И ВООБЩЕ МНОГИЕ ПАЧКИ ЖИВУТ ЧИСТО НА ЯНТАРЕ!</t>
      </text>
    </comment>
    <comment authorId="0" ref="I4">
      <text>
        <t xml:space="preserve">ПОСТАВИТЬ РАДИ ХИЛА МОЖНО НА ЛЮБОГО ПЕРСОНАЖА. НО!
ЛУЧШИЕ НОСИТЕЛИ:
КОКОМИ
БАРБАРА
БАЙ ДЖУ
НЁВИЛЛЕТ</t>
      </text>
    </comment>
    <comment authorId="0" ref="O4">
      <text>
        <t xml:space="preserve">ПОДХОДИТ ЛЮБОМУ ДД ОТ СА</t>
      </text>
    </comment>
    <comment authorId="0" ref="T4">
      <text>
        <t xml:space="preserve">ИЗ-ЗА ОТСУТВИЯ ЦЕРЕМОНИИ И НЕВОЗМОЖНОСТИ ИМЕТЬ 10 ФАВОНИЕВ. У КОПЕЙЩИКОВ БОЛЬШАЯ ЗАВИСИМОСТЬ К ЭНЕРГИИ! ПОЭТОМУ 4</t>
      </text>
    </comment>
    <comment authorId="0" ref="U4">
      <text>
        <t xml:space="preserve">КИТАИН НЕМНОГО ОТЛИЧАЕТСЯ ОТ ПУШЕК НА ХП, ОНО ДАЁТ МС. ИЗ-ЗА ЧЕГО МОЖНО СТАВИТЬ ДЛЯ БУТОНЩИКОВ И СЯНКЕ!
А ЭТО УЖЕ ИНОЙ ПУЛЛ ПЕРСОНАЖЕЙ!
ПЕРСОНАЖИ:
ТОМА
РАЙДЭН
СЯН ЛИН
ЯО ЯО
ИАНСАН
ИНЕФФИ</t>
      </text>
    </comment>
    <comment authorId="0" ref="AA4">
      <text>
        <t xml:space="preserve">ЛЮБОЙ ДД ДВУРУК ЧЕРЕЗ СА</t>
      </text>
    </comment>
    <comment authorId="0" ref="C5">
      <text>
        <t xml:space="preserve">БУКВАЛЬНО ЛУЧШАЯ ОПЦИЯ ПОЧТИ ДЛЯ ВСЕХ ДД МЕЧНИКОВ.
И ПРИ ЭТОМ КРАФТОВОЕ!</t>
      </text>
    </comment>
    <comment authorId="0" ref="I5">
      <text>
        <t xml:space="preserve">СТАВЬ ЛЮБОМУ САППОРТУ!</t>
      </text>
    </comment>
    <comment authorId="0" ref="O5">
      <text>
        <t xml:space="preserve">ПОДХОДИТ ЛЮБОМУ САППОРТУ!</t>
      </text>
    </comment>
    <comment authorId="0" ref="U5">
      <text>
        <t xml:space="preserve">ПЕРСОНАЖИ:
СЯН ЛИН
РАЙДЭН
РОЗАРИЯ
ШЭНЬ ХЭ
ЯО ЯО
ШЕВРЁЗ</t>
      </text>
    </comment>
    <comment authorId="0" ref="AA5">
      <text>
        <t xml:space="preserve">В ЦЕЛОМ МОЖНО ПОСТАВИТЬ КОМУ УГОДНО, КТО ОТ ФУЛЛ МС НЕ ОТКАЖЕТСЯ.
А ТАКИХ МНОГО У ДВУРУКОВ!</t>
      </text>
    </comment>
    <comment authorId="0" ref="C6">
      <text>
        <t xml:space="preserve">ЧЕСТНО ГОВОРЯ ОРУЖИЕ ИНТЕРЕСНОЕ, КАК БЫ И УРОН ДАЁТ И СТАБИЛЬНОСТИ НАВАЛИВАЕТ КУЧА. НО... ЕСЛИ НЕМНОГО УГЛУБИТЬСЯ В СУТЬ АМЭНОМЫ, ТО ОКАЖЕТСЯ, ЧТО ЭТО ПРИМЕРНО ТОЖЕ САМОЕ ЧТО И НЕБЕСНЫЙ МЕЧ, ТОЛЬКО КРАФТОВЫЙ! НО УЧИТЫВАЯ, ЧТО ТАКОЙ ЗОЛОТОЙ СЕРЕДИНЫ НЕТ СРЕДИ МЕЧЕЙ. ТО МЫ СТАВИМ ВСЕМ ПОДРЯД!</t>
      </text>
    </comment>
    <comment authorId="0" ref="H6">
      <text>
        <t xml:space="preserve">ХОРОШАЯ 3⭐️ ПУШКА, КОТОРАЯ НЕ УСТУПАЕТ ХОРОШИМ 4⭐️ ПУШКАМ! И АКТИВАЦИЯ ПРОСТАЯ!</t>
      </text>
    </comment>
    <comment authorId="0" ref="I6">
      <text>
        <t xml:space="preserve">КАК ДЛЯ 3⭐️ ОРУЖИЯ ИМЕЕТ БОЛЬШОЙ СПРОС! ВЕДЬ КОНКУРИРУЕТ С ХОРОШИМИ 4⭐️ ПУШКАМИ. ДА, ЕСТЬ ЗАМЕНЫ. НО ОНИ ДОРОЖЕ ВО ВСЕХ ПЛАНАХ!</t>
      </text>
    </comment>
    <comment authorId="0" ref="O6">
      <text>
        <t xml:space="preserve">КРУТАЯ КРИТОВАЯ ЗАТЫЧКА!
ПОДХОД ЛЮБОМУ ДД</t>
      </text>
    </comment>
    <comment authorId="0" ref="U6">
      <text>
        <t xml:space="preserve">МОЖЕТ ПОКАЗАТЬСЯ ЧТО ПОДХОДИТ ТОЛЬКО 1 ПЕРСОНАЖУ, НО ЭТО В ДЕЙСТВИТЕЛЬНОСТИ КРУТАЯ КРИТ ЗАТЫЧКА.
А ТО ЧТО ОНА РАССКРЫВАЕТСЯ ТОЛЬКО С ИНЕФФИ. НУ ЭТО ТАКОЕ)</t>
      </text>
    </comment>
    <comment authorId="0" ref="AA6">
      <text>
        <t xml:space="preserve">ПЕРСОНАЖИ:
МАВУИКА
КИНИЧ
ДЛЯ ОСТАЛЬНЫХ ЭТО ПРОСТО КРИТОВАЯ ЗАТЫЧКА! НО! КОТОРАЯ ПОЛУЧЕ МНОГИХ 4⭐️</t>
      </text>
    </comment>
    <comment authorId="0" ref="C7">
      <text>
        <t xml:space="preserve">ПОСТАВИТЬ МОЖНО НА ЛЮБОГО САПА. АКТИВАЦИЯ ЛЕГКАЯ.
МОЖНО ДАЖЕ НА ДД ВЛЕПИТЬ.
НАПРИМЕР:
ХАЙТАМ
КЭ ЦИН</t>
      </text>
    </comment>
    <comment authorId="0" ref="I7">
      <text>
        <t xml:space="preserve">НОСИТЕЛЕЙ ОЧЕНЬ МНОГО! ЕДИНСТВЕННЫЙ СЛУЧАЙ, КОГДА ФАВОНИЙ НЕ РЕШАЕТ...
ЛУЧШИЕ НОСИТЕЛИ:
САХАРОЗА
КЛИ
ЯНЬ ФЭЙ
КОКОМИ
СИТЛАЛИ
ЛАНЬ ЯНЬ</t>
      </text>
    </comment>
    <comment authorId="0" ref="O7">
      <text>
        <t xml:space="preserve">ЛУК МОЖНО ПОСТАВИТЬ КОМУ УГОДНО, КТО ДАМАЖИТ ЧЕРЕЗ УЛЬТ ИЛИ ЕШКУ.
ИСКЛЮЧЕНИЕ ГОРО И ФАРУЗАН!
ИМ МС НЕ НУЖЕН
А ТАК КАК НЕТ КРАФТОВОЙ ЗАМЕНЫ... ТО ГИБКОСТЬ 5+
</t>
      </text>
    </comment>
    <comment authorId="0" ref="U7">
      <text>
        <t xml:space="preserve">ПЕРСОНАЖИ:
ЭСКОФЬЕ
ЯО ЯО
ШЕВРЁЗ
МИКА
ИАНСАН
</t>
      </text>
    </comment>
    <comment authorId="0" ref="AA7">
      <text>
        <t xml:space="preserve">ПЕРЕБИТЬ СЛОЖНО. УСЛОВИЯ АКТИВАЦИИ ПРОСТЫЕ. ТА И ЭТО ПРОСТО ХОРОШАЯ КРИТОВАЯ ЗАТЫЧКА!
ПОДХОДИТ ЛЮБОМУ ДД ОТ СА</t>
      </text>
    </comment>
    <comment authorId="0" ref="C8">
      <text>
        <t xml:space="preserve">ПЕРСОНАЖИ:
НИЛУ
БАННЕТ
КИРАРА
ЛАЙЛА
СИНОБУ
ФУРИНА</t>
      </text>
    </comment>
    <comment authorId="0" ref="H8">
      <text>
        <t xml:space="preserve">ПОКАЗЫВАЕТ РЕЗУЛЬТАТЫ 5⭐️ ПУШЕК! ДАЖЕ ПРИ ВСЁМ СВОЁМ РАНДОМЕ! ГЛАВНОЕ, ЧТО ВСЕ СТАТЫ БЫЛИ ПОЛЕЗНЫЕ!</t>
      </text>
    </comment>
    <comment authorId="0" ref="I8">
      <text>
        <t xml:space="preserve">ПОДХОДИТ ЛЮБОМУ ДД, У КОТОРОГО ХОТЬ 2 СТАТА ПОЛЕЗНЫХ ИЗ СПИСКА. ВЕДЬ ПРИ ЖЕЛАНИИ, ЕСЛИ НЕ ПОВЕЗЁТ. МОЖНО ПЕРЕИГРАТЬ СКОЛЬКО УГОДНО РАЗ!</t>
      </text>
    </comment>
    <comment authorId="0" ref="O8">
      <text>
        <t xml:space="preserve">ПЕРСОНАЖИ:
ЁИМИЯ
ЭЛОЙ
ДЛЯ ОСТАЛЬНЫХ ЭТО ПРОСТО КРИТОВАЯ ЗАТЫЧКА</t>
      </text>
    </comment>
    <comment authorId="0" ref="U8">
      <text>
        <t xml:space="preserve">ЛЮБОМУ ДД ОТ СА СТАВИМ И ТОП! АКТИВАЦИЯ ЛЕГКАЯ! ДАЁТ МЕГА МНОГО, НЕ ХУЖЕ БП</t>
      </text>
    </comment>
    <comment authorId="0" ref="AA8">
      <text>
        <t xml:space="preserve">ПЕРЕБИТЬ СЛОЖНО. УСЛОВИЯ АКТИВАЦИИ ПРОСТЫЕ. ТА И ЭТО ПРОСТО ХОРОШАЯ КРИТОВАЯ ЗАТЫЧКА!
ПОДХОДИТ ЛЮБОМУ ДД ОТ СА И ХП</t>
      </text>
    </comment>
    <comment authorId="0" ref="C9">
      <text>
        <t xml:space="preserve">ПОДХОД ЛЮБОМ САП ИЛИ ДД ОТ ФУЛЛ МС, А ТАКИХ ОЧЕНЬ МНОГО</t>
      </text>
    </comment>
    <comment authorId="0" ref="I9">
      <text>
        <t xml:space="preserve">ЗАМЕНЯЕТ ПОЛОВИНУ 5⭐️ ОРУЖКИ, АКТИВАЦИЯ ЛЕГКАЯ. ПОДХОДИТ ЛЮБОМУ ДД ОТ СА!</t>
      </text>
    </comment>
    <comment authorId="0" ref="O9">
      <text>
        <t xml:space="preserve">НА САМОМ ДЕЛЕ ЛУК НЕ УСТУПАЕТ 5⭐️, НУЖНО ТОЛЬКО АКТИВИРОВАТЬ И ВСЁ!
А ЦИФРЫ ТАМ КОНЕЧНО ЖЕСТЬ... НЕ ХУЖЕ КОСТИ ДРАКОНА В ДВУРУКОВ!
ПОДХОДИТ ЛЮБОМУ ДД ОТ СА</t>
      </text>
    </comment>
    <comment authorId="0" ref="U9">
      <text>
        <t xml:space="preserve">ДАЁТ МНОГО УРОНА И ПРИ ЭТОМ РЕШАТ 100% ПРОБЛЕМУ СО СТАБИЛЬНОСТЬЮ!</t>
      </text>
    </comment>
    <comment authorId="0" ref="Z9">
      <text>
        <t xml:space="preserve">ХОТЬ У НАС ТУТ И ЕСТЬ МАССОВЫЙ БАФФ, НО ОН СЛИШКОМ РЕДКИЙ, ИЗ-ЗА ЧЕГО Я НЕ МОГУ ДАТЬ ПРЯМ 5+, А ОТ 5 ВПОЛНЕ СЕБЕ!
ТОТ ЖЕ НЕКОВАННЫЙ, КОТОРЫЙ ДАЁТ ПРИМЕРНО СТОЛЬКО ЖЕ, ПОЛУЧИЛ ВСЕГО 4 БАЛЛА</t>
      </text>
    </comment>
    <comment authorId="0" ref="AA9">
      <text>
        <t xml:space="preserve">ПОСТАВИТЬ МОЖНО ЛЮБОМУ ДД ОТ СА
ХОТЬ И НЕ КРИТОВАЯ ЗАТЫЧКА, НО ЗАТО СА МНОГИМ НУЖНА ДВУРУКАМ!</t>
      </text>
    </comment>
    <comment authorId="0" ref="C10">
      <text>
        <t xml:space="preserve">В ЦЕЛОМ ПЕРСОНАЖЕЙ, КОТОРЫЕ БЬЮТ УЛЬТОЙ НЕ ТАК МАЛО! И БЬЮТ ОНИ ДОСТАТОЧНО ЧАСТО!
ПЕРСОНАЖИ: 
АНЕМО ГГ(0,5), 
СИН ЦЮ, 
КЭЙА, 
КАДЗУХА(0,5),
ЭЛЕКТРО ГГ, 
ДЕНДРО ГГ, 
ЛАЙЛА, 
ЛИНЕТТ,
ДУРИН</t>
      </text>
    </comment>
    <comment authorId="0" ref="I10">
      <text>
        <t xml:space="preserve">БЛАГОДОРЯ ТИОРИ, МОЖНО АКТИВИРОВАТЬ НА ЛЮБОМ КАТАЛИЗЕ, НО!
ЛУЧШИЕ НОСИТЕЛИ:
СЯНЬ ЮНЬ
ЛАНЬ ЯНЬ
ВАРЕСА
ТАК ЖЕ У НАС ЕСТЬ АЛЬБЕДО И ВЕНТИ, КОТОРЫЕ ПОЗВОЛЯЮТ ПРЫГНУТЬ ЛЮБОМУ ПЕРСОНАЖУ, КОРОЧЕ ПРИ ЖЕЛАНИИ АКТИВИРОВАТЬ МОЖНО!</t>
      </text>
    </comment>
    <comment authorId="0" ref="O10">
      <text>
        <t xml:space="preserve">РАБОТАЕТ ИДЕАЛЬНО ТОЛЬКО С ТАРТАЛЬЯ ИЛИ ЛИНИ
ДЛЯ ОСТАЛЬНЫХ ЭТО ЗАЧАСТУЮ ПРОСТО ЗАТЫЧКА.
НО ХОРОШАЯ ЗАТЫЧКА!</t>
      </text>
    </comment>
    <comment authorId="0" ref="U10">
      <text>
        <t xml:space="preserve">ПРОСТО ХОРОШАЯ КРИТОВАЯ ПАЛКА. НЕ НАБИРАЕТ СТАКИ С КАРМАНА!
ПОДХОДИТ ЛЮБОМУ ДД ОТ СА</t>
      </text>
    </comment>
    <comment authorId="0" ref="AA10">
      <text>
        <t xml:space="preserve">В ЦЕЛОМ ЭТО УЖЕ КАК КРИТОВАЯ ЗАТЫЧКА НЕ ПЛОХО. НО С ПАССИВКОЙ НЕ ВСЁ ПРОСТО!
ПЕРСОНАЖИ:
ИТТО
НОЭЛЛЬ
ДИЛЮК
ФРЕМИНЕ
МАВУИКА
ЭОЛА
НАВИЯ
</t>
      </text>
    </comment>
    <comment authorId="0" ref="C11">
      <text>
        <t xml:space="preserve">ПОДХОДИТ ЛЮБОМУ ДД ОТ СА
ДАЖЕ САПУ МОЖНО СТАВИТЬ, РАДИ ХП И ШК</t>
      </text>
    </comment>
    <comment authorId="0" ref="H11">
      <text>
        <t xml:space="preserve">ОРУЖИЕ ДАЁТ ОЧЕНЬ МНОГО НОСИТЕЛЮ И ПРИ ЭТОМ НЕМНОГО БАФФАЕТ ПАЧКУ. НУ КАК НЕМНОГО?! ТА ЖЕ ЗВЕЗДА 4⭐️ ДАЁТ ПРИМЕРНО СТОЛЬКО ЖЕ ПАЧКЕ. ТАК ЧТО БАФФ ХОРОШИЙ!</t>
      </text>
    </comment>
    <comment authorId="0" ref="I11">
      <text>
        <t xml:space="preserve">ПОДХОДИТ ЛЮБОМУ ПЕРСОНАЖУ ОТ МС, А ПОЧТИ ВСЕ КАТАЛИКИ, КРОМЕ НИН ГУАН ОТ МС НЕ ОТКАЖУТСЯ!</t>
      </text>
    </comment>
    <comment authorId="0" ref="O11">
      <text>
        <t xml:space="preserve">ПОДХОДИТ ЛЮБОМУ ДД ОТ СА</t>
      </text>
    </comment>
    <comment authorId="0" ref="U11">
      <text>
        <t xml:space="preserve">НА САМОМ ДЕЛЕ ВСЕ ВИДЯТ ЗДЕСЬ ТОЛЬКО СИГНУ АРЛИ, НО НА ДЕЛЕ, ЕСЛИ ВЫ НЕ БУДЕТЕ ИСПОЛЬЗОВАТЬ ХИЛЛА. ТО ПУШКА НЕ БУДЕТ ХУЖЕ КОРШУНА И ХОМЫ!
ПОДХОДИТ ЛЮБОМУ ДД</t>
      </text>
    </comment>
    <comment authorId="0" ref="AA11">
      <text>
        <t xml:space="preserve">ПОДХОДИТ ВООБЩЕ ЛЮБОМУ ДД! КРОМЕ ДЭХЬИ, ПОТОМУ ЧТО ОНА ТЕРЯЕТ СТАКИ ОЧЕНЬ БЫСТРО... ИЗ-ЗА МЕХАНИКИ ПОТЕРИ ХП
С КАМИНОМ ЭТО КСТАТИ НЕ РАБОТАЕТ ПОЧЕМУ ТО...
УРОН ПО ЩИТУ НЕ СЧИАЕТСЯ УРОНОМ, ПОЭТОМУ СТАКИ НЕ ЗАБИРАЕТ!</t>
      </text>
    </comment>
    <comment authorId="0" ref="C12">
      <text>
        <t xml:space="preserve">НА САМОМ ДЕЛЕ ЭТО ПРОСТО НОРМАЛЬНАЯ КРИТОВАЯ ЗАТЫЧКА! А РАБОТАЕТ ХОРОШО ЭТО ТОЛЬКО СО СКИРК</t>
      </text>
    </comment>
    <comment authorId="0" ref="I12">
      <text>
        <t xml:space="preserve">МОЖНО ПОСТАВИТЬ ЛЮБОМУ КАТАЛИЗАТОРУ, КОТОРЫЙ ИГРАЕТ ОТ ФУЛЛ МС. А ТАКИХ ОЧЕНЬ МНОГО!</t>
      </text>
    </comment>
    <comment authorId="0" ref="O12">
      <text>
        <t xml:space="preserve">ПЕРСОНАЖИ:
ЧАСКА
ТАРТАЛЬЯ
ГАНЬ ЮЙ
ТИГНАРИ
ЛИНИ(В ДАБЛ ПИРО)
СЕТОС
</t>
      </text>
    </comment>
    <comment authorId="0" ref="U12">
      <text>
        <t xml:space="preserve">ПОДХОДИТ ЛЮБОМУ ДД ОТ СА
ХУ ТАМ ЕСЛИ, ЧТО СКЕЙЛИТСЯ ОТ СА. ДА!)</t>
      </text>
    </comment>
    <comment authorId="0" ref="AA12">
      <text>
        <t xml:space="preserve">ОРУЖИЕ КОНЕЧНО ПОЛЕЗНОЕ, НО В ЦЕЛОМ ЛЕГКО ПЕРЕБИТЬ ФАВОНИЕМ!</t>
      </text>
    </comment>
    <comment authorId="0" ref="C13">
      <text>
        <t xml:space="preserve">ОДНА ИЗ ЛУЧШИХ КРИТОВЫХ ЗАТЫЧЕК В ИГРЕ
НУ И САМО СОБОЙ ИДЕАЛ ДЛЯ:
ТИОРИ
ХАЙТАМ</t>
      </text>
    </comment>
    <comment authorId="0" ref="I13">
      <text>
        <t xml:space="preserve">ЭТО И ТАК КРИТОВАЯ ЗАТЫЧКА, А ОНА ЕЩЁ С ФУРИНОЙ ВСТАЁТ ПОД КАЖДОГО ДД</t>
      </text>
    </comment>
    <comment authorId="0" ref="O13">
      <text>
        <t xml:space="preserve">НЕ СРАЗУ ПОНЯТНО, НО БАФФ РАБОТАЕТ С КАРМАНА ВЕЧНО!
ПЛЮС ДЛЯ ДД ДОСТАТОЧНО АКТИВНО БИТЬ И БАФФ ТОЖЕ БУДЕТ
НАПРИМЕР:
ВЕНТИ
ФИШЛЬ
ОРОРОН
ЯГОДКА
СЕТОС(0,5)
ЁИМИЯ
ТАРТАЛЬЯ(0,5)</t>
      </text>
    </comment>
    <comment authorId="0" ref="U13">
      <text>
        <t xml:space="preserve">КРУТАЯ КРИТОВАЯ ЗАТЫЧКА!
ПОДХОДИТ ЛЮБОМУ ДД ОТ РЕАКЦИЙ</t>
      </text>
    </comment>
    <comment authorId="0" ref="AA13">
      <text>
        <t xml:space="preserve">ПЕРСОНАЖИ:
ЭОЛА
ФРЕМИНЕ
РЭЙЗОР
0,5 БАЛЛОВ ЗА СИНЬ ЯНЬ</t>
      </text>
    </comment>
    <comment authorId="0" ref="C14">
      <text>
        <t xml:space="preserve">ОЧЕРЕДНАЯ КРИТОВАЯ ЗАТЫЧКА, КОТОРАЯ РАБОТАЕТ ТОЛЬКО С ОДНИМ ПЕРСОМ НОРМАЛЬНО
КЛОРИНДА</t>
      </text>
    </comment>
    <comment authorId="0" ref="I14">
      <text>
        <t xml:space="preserve">ПЕРСОНАЖИ:
МИДЗУКИ
ЛАНЬ ЯНЬ
ИФА
САХАРОЗА
ЦАПЛЯ(ДРАЙВЕР)
ТА И ВООБЩЕ МОЖНО ПОСТАВИТЬ ЛЮБОМУ ПЕРСОНАЖУ ДЛЯ МС
</t>
      </text>
    </comment>
    <comment authorId="0" ref="O14">
      <text>
        <t xml:space="preserve">ПОДХОДИТ ЛЮБОМУ ДД
НО ЛУЧШЕ ОТ СА</t>
      </text>
    </comment>
    <comment authorId="0" ref="U14">
      <text>
        <t xml:space="preserve">УЧИТЫВАЯ ЧТО У НАС НЕТ ВООБЩЕ НИ КРАФТОВЫХ ПУШЕК ДЛЯ ДД, НИ 3⭐️ НОРМАЛЬНОЙ. БЕЛАЯ ТЕНЬ НЕ ДЛЯ ВСЕХ!
ТАК ОНО ПОЛУЧАЕТСЯ, ЧТО ДАЖЕ ДЕДАМ ИГРЫ ОЧЕНЬ ЧАСТО ПРИГОЖДАЕТСЯ ЭТО КОПЬЁ. ИЗ-ЗА ТОГО, ЧТО У НАС НЕ БОЛЬШОЙ ВЫБОР. ХОТЯ ПОНЯТНОЕ ДЕЛО, ЧТО БП ЛУЧШЕ!</t>
      </text>
    </comment>
    <comment authorId="0" ref="AA14">
      <text>
        <t xml:space="preserve">ПЕРСОНАЖИ:
КАМИН
ДИЛЮК
НАВИЯ
ФРЕМИНЕ
ЭОЛА
МАВУИКА(0,5 БАЛЛОВ)</t>
      </text>
    </comment>
    <comment authorId="0" ref="C15">
      <text>
        <t xml:space="preserve">КРУТАЯ КРИТОВАЯ ЗАТЫЧКА!
КОТОРАЯ ПОДХОДИТ ЛЮБОМУ ДД ОТ СА!</t>
      </text>
    </comment>
    <comment authorId="0" ref="I15">
      <text>
        <t xml:space="preserve">ПЕРСОНАЖИ:
НЕФЕР
ЛАНЬ ЯНЬ(0,5)
РИЗЛИ(0.5)
НАХИДА
ХЭЙДЗО
ЯЭ МИКО
ЯН ФЭЙ
КЛИ
ВАРЕСА</t>
      </text>
    </comment>
    <comment authorId="0" ref="J15">
      <text>
        <t xml:space="preserve">ПОХОДУ НОВАЯ БП ПУШКА!</t>
      </text>
    </comment>
    <comment authorId="0" ref="M15">
      <text>
        <t xml:space="preserve">ЦЕРЕМОНИЯ
ОПЯТЬ ЖЕ ПОНЯТЬ СЛОЖНО, ЧТО ЗА ЛУК...</t>
      </text>
    </comment>
    <comment authorId="0" ref="N15">
      <text>
        <t xml:space="preserve">ДВОЙНАЯ ЕШКА ДЛЯ ЛУЧНИКОВ ПОЛЕЗНАЯ, НО ОПЯТЬ ЖЕ НЕ ДЛЯ ВСЕХ!</t>
      </text>
    </comment>
    <comment authorId="0" ref="O15">
      <text>
        <t xml:space="preserve">ПОЧТИ ВСЕГДА БУДЕТ ФАВОНИЙ ЛУЧШЕ. ХОТЯ ЕСТЬ КОМУ СТАВИТЬ!
НАПРИМЕР:
СИДЖВИНИ
ДИОНА
ЭЛОЙ</t>
      </text>
    </comment>
    <comment authorId="0" ref="U15">
      <text>
        <t xml:space="preserve">КАК БЫ ЕСТЬ КИТАИН! И ПО ИДЕЕ, МОЖНО ОСОБО НЕ ИСПОЛЬЗОВАТЬ. НО НА ДЕЛЕ ДАЁТ НЕ МАЛО. ДА КОНЕЧНО НЕ БАЛЛАДА, НО ВСЁ ЖЕ ОРУЖИЕ ХОРОШОЕ!
ТАК ЧТО СТАВЬТЕ ЛЮБОМУ ДД ОТ РЕАКЦИЙ!</t>
      </text>
    </comment>
    <comment authorId="0" ref="AA15">
      <text>
        <t xml:space="preserve">ОРУЖИЕ КОНЕЧНО ПОЛЕЗНОЕ, НО В ЦЕЛОМ ЛЕГКО ПЕРЕБИТЬ ФАВОНИЕМ!
ХОТЯ ЕСТЬ ЧУН ЮНЬ, КОТОРОМУ ЭТО ОРУЖИЕ ПРЯМ ОЧЕНЬ ХОРОШО ЗАХОДИТ!
А ЕЩЁ ДЭХЬЯ</t>
      </text>
    </comment>
    <comment authorId="0" ref="C16">
      <text>
        <t xml:space="preserve">ЭТИХ КРИТОВЫХ ЗАТЫЧЕК Я ВИЖУ У МЕЧЕЙ... КАК МОЖНО ЗА ЭТО ВООБЩЕ МЕЧ ХВАЛИТЬ. ТАК И ХОЧЕТСЯ 3 БАЛЛА БАХНУТЬ!
ПЕРСЫ:
АЯТО
КЛОРИНДА</t>
      </text>
    </comment>
    <comment authorId="0" ref="I16">
      <text>
        <t xml:space="preserve">ЭТО УЖЕ ХОРОШАЯ КРИТОВАЯ ЗАТЫЧКА, ТАК К ЭТОМУ ЖЕ МЫ ЕЩЁ МОЖЕМ ВЗЯТЬ ЦАПЛЮ И ЖОСКО ПРЫГАТЬ! ХОТЬ И ВАРИАНТОВ ТАМ И НЕ ТАК МНОГО...
ПЕРСОНАЖИ:
ВАРЕСА
ЦАПЛЯ С6</t>
      </text>
    </comment>
    <comment authorId="0" ref="O16">
      <text>
        <t xml:space="preserve">В ЦЕЛОМ ХОРОШИЙ ЛУК! НО К СОЖАЛЕНИЮ У НАС УЖЕ ЕСТЬ МЕЛОДИЯ ПОКАЯ, КОТОРАЯ ПЕРЕБИВАЕТ ЭТОТ ЛУК В 0. И ПРИ ЭТОМ АКТИВАЦИЯ ТАМ ПРОЩЕ...</t>
      </text>
    </comment>
    <comment authorId="0" ref="U16">
      <text>
        <t xml:space="preserve">ДАЁТ НЕ МЕНЬШЕ ДРУГИХ БП ПУШЕК! ТО ЕСТЬ ИМБА ОДНИМ СЛОВОМ!
ПЕРСОНАЖИ:
ИНЕФФА
ФЛИНС(0,5)
ЭСКОФЬЕ
ЭМИЛИЯ
СЯН ЛИН
РАЙДЭН
САЙНО</t>
      </text>
    </comment>
    <comment authorId="0" ref="V16">
      <text>
        <t xml:space="preserve">ВЫГЛЯДИТ КАК БП ПУШКА!</t>
      </text>
    </comment>
    <comment authorId="0" ref="AA16">
      <text>
        <t xml:space="preserve">КАК КРИТОВАЯ ЗАТЫЧКА, ТАКОЕ СЕБЕ... НО ДЛЯ КОГО-ТО ЭТО ПРЯМ ХОРОШИЙ ВАРИАНТ:
КИНИЧ
ДЭХЬЯ
ЧУН ЮНЬ(0,5 БАЛЛОВ)
НАВИЯ(0,5 БАЛЛОВ)
МАВУИКА(0,5 БАЛЛОВ)</t>
      </text>
    </comment>
    <comment authorId="0" ref="C17">
      <text>
        <t xml:space="preserve">ОЧЕРЕДНОЕ ЧУДО КРЫТОВЫХ ЗАТЫЧЕК... ОХ... ЛАДНО 5+!!!
НО ТУТ ХОТЯ БЫ 3 ПЕРСА ЕСТЬ:
ХАЙТАМ
АЯТО
КЛОРИНДА
СИГНА КЛОРЫ И ТО ХУЖЕ...</t>
      </text>
    </comment>
    <comment authorId="0" ref="I17">
      <text>
        <t xml:space="preserve">БУТОНЩИКОВ НА САМОМ ДЕЛЕ НЕ МАЛО. НО НАЗВАТЬ ЭТО ИМБОЙ ТЯЖКО... НУ ДЛЯ НЕФЕР КРУТО. ДЛЯ ОСТАЛЬНЫХ ПРОСТО ЗАТЫЧКА</t>
      </text>
    </comment>
    <comment authorId="0" ref="O17">
      <text>
        <t xml:space="preserve">ПЕРСОНАЖИ:
ГАНЬ ЮЙ
ТИГНАРИ
ЛИНИ(ОТ ПАР\ТАЯНИЯ)
СЕТОС</t>
      </text>
    </comment>
    <comment authorId="0" ref="U17">
      <text>
        <t xml:space="preserve">ПЕРСОНАЖИ:
ШЭНЬ ХЭ
ЭСКОФЬЕ
ЭМИЛИЯ
ИНЕФФИ
СЯН ЛИН</t>
      </text>
    </comment>
    <comment authorId="0" ref="AA17">
      <text>
        <t xml:space="preserve">ПЕРЕБИТЬ НЕ ТЯЖКО. ОСОБЕННО ПОСЛЕ НОВОЙ ИВЕНТ ПУШКИ!
ПЕРСЫ:
БЭЙ ДОУ
РЭЙЗОР(0,5)
САЮ
ДОРИ
ДЭХЬЯ(0,5)
КАВЕХ</t>
      </text>
    </comment>
    <comment authorId="0" ref="C18">
      <text>
        <t xml:space="preserve">ПОЧТИ ВСЕГДА БУДЕТ ФАВОНИЙ ЛУЧШЕ. ХОТЯ ЕСТЬ КОМУ СТАВИТЬ!
ПЕРСОНАЖИ:
СИН ЦЮ
ЦИ ЦИ
ДЖИН(0,5 БАЛЛОВ)
КАДЗУХА(0,5 БАЛЛОВ)
КЭЙА(0,5 БАЛЛОВ)</t>
      </text>
    </comment>
    <comment authorId="0" ref="I18">
      <text>
        <t xml:space="preserve">ЭТО КОНЕЧНО МОЖНО ПОСТАВИТЬ ПОД МУЛАТКУ КАК ЗАТЫЧКУ, НО!
ПЕРСОНАЖИ:
НЁВИЛЛЕТ
РИЗЛИ
0,5 БАЛЛОВ С ФУРИНОЙ:
КЛИ
ЯНЬ ФЭЙ
СТРАННИК</t>
      </text>
    </comment>
    <comment authorId="0" ref="O18">
      <text>
        <t xml:space="preserve">НА УДИВЛЕНИЕ ДОСТАТОЧНО ИНЕРЕСНЫЙ ЛУК! КОТОРЫЙ ПОД КОНЕЦ НОДА БУДЕТ ВООБЩЕ ОГНИЩЕ! ПЕРЕБИТЬ ТЯЖКОВАТО. ЕЩЁ БЫ АТАКУ МАКС. А НЕ МИНИМАЛКУ...
ПОДХОДИТ ЛЮБОМУ ЛУЧНИКУ ОТ РЕАКЦИЙ ПО ФАКТУ!
НО НУЖНО УМЕТЬ БАЛАНСИТЬ!</t>
      </text>
    </comment>
    <comment authorId="0" ref="U18">
      <text>
        <t xml:space="preserve">В ЦЕЛОМ ПОДХОДИТ ЛЮБОМУ ДД ОТ ЗАРЯЖЕННЫХ. НО РЕАЛЬНО КРУТО СЕБЯ ПОКАЗЫВАЕТ ТОЛЬКО В РУКАХ ФЛИНСА И ИНЕФФЫ.
ПОЭТОМУ ПРЯМ ВЫСОКИЙ БАЛЛ ПОСТАВИТЬ НЕ МОГУ...</t>
      </text>
    </comment>
    <comment authorId="0" ref="AA18">
      <text>
        <t xml:space="preserve">ХОТЬ И ОРУЖИЕ ВСТАЁТ НА ВСЕХ ПОДРЯД, НО ЕСТЬ КРАФТОВЫЕ 4⭐️ ОРУЖИЯ, КОТОРЫЕ ЛЕГКО В СРЕДНЕМ ПЕРЕБЬЮТ ЭТУ ПУШКУ</t>
      </text>
    </comment>
    <comment authorId="0" ref="C19">
      <text>
        <t xml:space="preserve">КАК БЫ МОЖНО ПОСТАВИТЬ ЛЮБОМУ МЕЧНИКУ ОТ УЛЬТЫ. НО ТОЛКУ МАЛО. НО ВСЁ ЖЕ ЕСТЬ ПЕРСЫ КОМУ ПОДХОДИТ:
КЭ ЦИН
КЛОРИНДА(0,5)
АЯКА(0,5)
ГГ ЛЮБОЙ
КЭЙА
СИН ЦЮ(0,5)
ЛИННЕТ(0,5)
ЛАЙНА
СКИРК(0,5)
</t>
      </text>
    </comment>
    <comment authorId="0" ref="I19">
      <text>
        <t xml:space="preserve">СОРЕВНУЕТСЯ С РУКОВОДСТВОМ И ПЛОДОМ ВОСПОЛНЕНИЯ. ОРУЖКИ АБСОЛЮТНО ОДИНАКОВЫЕ.
И ДРУГ ДРУГА ЗАМЕНЯЮТ</t>
      </text>
    </comment>
    <comment authorId="0" ref="O19">
      <text>
        <t xml:space="preserve">ПЕРСОНАЖИ:
ГАНЬ ЮЙ
ЛИНИ
ЁИМИЯ
0,5 БАЛЛОВ ЗА:
ТИГНАРИ
СЕТОС
(ИМ НАДО МС, СА МАЛО ДАЁТ)
АМОС НЕ РАБОТАЕТ С ЧАСКОЙ!</t>
      </text>
    </comment>
    <comment authorId="0" ref="U19">
      <text>
        <t xml:space="preserve">ОРУЖИЕ МЕГА СИЛЬНОЕ!
ПОДХОДИТ ЛЮБОМУ ДД ЧЕРЕЗ РЕАКЦИИ! ДАЖЕ РАЙДЭН БУТОНЫ!</t>
      </text>
    </comment>
    <comment authorId="0" ref="AA19">
      <text>
        <t xml:space="preserve">ПЕРСОНАЖИ:
ИТТО
НОЭЛЛЬ
СИНЬ ЯНЬ
ПЕРЕБИТЬ МОЖНО, НО ПУШЕК НА ЗАЩИТУ НЕТ! ПОЭТОМУ ФАКТИЧЕСКИ НЕЛЬЗЯ ПЕРЕБИТЬ!</t>
      </text>
    </comment>
    <comment authorId="0" ref="C20">
      <text>
        <t xml:space="preserve">ПЕРСОНАЖИ:
ФУРИНА
НИЛУ
СИНОБУ
БЕННЕТ
КИРАРА</t>
      </text>
    </comment>
    <comment authorId="0" ref="H20">
      <text>
        <t xml:space="preserve">НА САМОМ ДЕЛЕ ДАЁТ МНОГО, НО ТОЛЬКО ПРИ ОПРЕДЕЛЁННЫХ УСЛОВИЯХ. ПОЭТОМУ ТУТ 50\50
ГДЕ-ТО ОЧЕНЬ МНОГО, ГДЕ-ТО ПРОСТО ХОРОШО!</t>
      </text>
    </comment>
    <comment authorId="0" ref="I20">
      <text>
        <t xml:space="preserve">ПЕРСОНАЖИ:
НЁВИЛЛЕТ
МУАЛАНИ
БАРБАРА
КОКОМИ
БАЙ ДЖУ
В ЦЕЛОМ ЯНТАРЬ ДАЁТ ДЛЯ САПОРТОВ БОЛЬШЕ!
ТО ЕСТЬ БАЙ ДЖУ И БАРБАРА ПО 0,5 ДАЁТ</t>
      </text>
    </comment>
    <comment authorId="0" ref="O20">
      <text>
        <t xml:space="preserve">ХОТЬ И ОРУЖИЕ ВСТАЁТ НА ВСЕХ ПОДРЯД, НО ЕСТЬ КРАФТОВЫЕ 4⭐️ ОРУЖИЯ, КОТОРЫЕ ЛЕГКО В СРЕДНЕМ ПЕРЕБЬЮТ ЭТУ ПУШКУ</t>
      </text>
    </comment>
    <comment authorId="0" ref="U20">
      <text>
        <t xml:space="preserve">МОЖЕТ ПОКАЗАТЬСЯ ЧТО НЕ ИМБА! НО НЕ СТОИТ ОБМАНЫВАТЬСЯ! НЕ УСТУПАЕТ МНОГИМ 5⭐️. ТАК ЧТО ТОП!
ПОДХОДИТ ВСЕМ ДД ЧЕРЕЗ СА</t>
      </text>
    </comment>
    <comment authorId="0" ref="AA20">
      <text>
        <t xml:space="preserve">В ЦЕЛОМ НОСИТЕЛЕЙ МНОГО, НО ИЗ-ЗА АКВАМАРИНА И ЛАТ.
ОЧЕНЬ СЛОЖНО СОСТАВЛЯТЬ КОНКУРЕНЦИЮ...
КОРОЧЕ ДА! 3 БАЛЛА</t>
      </text>
    </comment>
    <comment authorId="0" ref="C21">
      <text>
        <t xml:space="preserve">НА САМОМ ДЕЛЕ ПУШКА НА МС ПОЛЕЗНАЯ, НО И ИМБОЙ ЕЁ НЕ НАЗОВЁШЬ. МНЕ ВСЁ ТАКИ ГЛУБИНЫ БОЛЬШЕ НРАВЯТСЯ!
НО ГИБКОСТЬ ЭТО ЕЁ НЕ ОТМЕНЯЕТ!</t>
      </text>
    </comment>
    <comment authorId="0" ref="H21">
      <text>
        <t xml:space="preserve">БАФФ В ОДНОГО, НО ОЧЕНЬ СИЛЬНЫЙ И ПРИ ЭТОМ ДЕРЖИТЬСЯ МЕГА СТАБИЛЬНО. ДАЛЕКО НЕ КАЖДАЯ ПУШКА ДАЁТ ТАК МНОГО!</t>
      </text>
    </comment>
    <comment authorId="0" ref="I21">
      <text>
        <t xml:space="preserve">ПЕРСОНАЖИ:
СИТЛАЛИ
ЛАНЬ ЯНЬ
БАЙ ДЖУ</t>
      </text>
    </comment>
    <comment authorId="0" ref="N21">
      <text>
        <t xml:space="preserve">НА САМОМ ДЕЛЕ ЛУК ОЧЕНЬ СИЛЬНЫЙ. НО ХУЖЕ ДАЛЬНОМЕРА. ТА И К СОЖАЛЕНИЮ РАБОТАЕТ ТОЛЬКО НА ЗАРЯЖЕН.</t>
      </text>
    </comment>
    <comment authorId="0" ref="O21">
      <text>
        <t xml:space="preserve">ПЕРСОНАЖИ:
ГАНЬ ЮЙ
ТИГНАРИ
ЛИНИ
СЕТОС 
ЧАСКА</t>
      </text>
    </comment>
    <comment authorId="0" ref="U21">
      <text>
        <t xml:space="preserve">ОЧЕНЬ СИЛЬНОЕ КОПЬЁ В ПИКЕ! И ЧЕМ ДАЛЬШЕ ИГРА РАЗВИВАЕТСЯ, ТЕМ БОЛЕЕ ПРОЩЕ СОБРАТЬ ПАЧКУ ПОД КОПЬЁ.
А В ПИКЕ ОНО НЕ ХУЖЕ БУРА. ДАЖЕ ЛУЧШЕ!
ОНО ЛУЧШЕ ДРУГИХ КАМЕННЫХ ИЗ-ЗА ТОГО, ЧТО НЕТ КРАФТОВЫХ КОНКУРЕНТОВ!
ПОДХОДИТ ЛЮБОМУ ДД ОТ СА</t>
      </text>
    </comment>
    <comment authorId="0" ref="Z21">
      <text>
        <t xml:space="preserve">ОЧЕНЬ МНОГО ДАЁТ! ХОТЬ И ПРИ УСЛОВИЯХ</t>
      </text>
    </comment>
    <comment authorId="0" ref="AA21">
      <text>
        <t xml:space="preserve">ПЕРСОНАЖИ:
БЭЙ ДОУ
РЭЙЗОР
ДОРИ
КАВЕХ
КИНИЧ
САЮ(0,5 БАЛЛОВ)</t>
      </text>
    </comment>
    <comment authorId="0" ref="C22">
      <text>
        <t xml:space="preserve">ТРЕБУЕТ НОД КРАЙ ПЕРСОВ, НО И ТАК ДАЁТ НЕ МАЛО. НО ВСЁ РАВНО ПЕРЕБИТЬ НЕ ТЯЖКО...
ПЕРСЫ:
ФУРИНА
НИЛУ
ЛАЙЛА
КИРА
БЕННЕТ(0,5)
ДАЛИЯ(0,5)</t>
      </text>
    </comment>
    <comment authorId="0" ref="I22">
      <text>
        <t xml:space="preserve">ПОСТАВИТЬ МОЖНО ЛЮБОМУ ДД ОТ СА, НО ЛЕГКО ЗАМЕНИМ!</t>
      </text>
    </comment>
    <comment authorId="0" ref="O22">
      <text>
        <t xml:space="preserve">ЛЕГКО ПЕРЕБИТЬ ЧЕМ УГОДНО! ПРОСТО НЕПЛОХАЯ ПУШКА НА СА И МС</t>
      </text>
    </comment>
    <comment authorId="0" ref="T22">
      <text>
        <t xml:space="preserve">ИЗ-ЗА ОТСУТВИЯ ЦЕРЕМОНИИ И НЕВОЗМОЖНОСТИ ИМЕТЬ 10 ФАВОНИЕВ. У КОПЕЙЩИКОВ БОЛЬШАЯ ЗАВИСИМОСТЬ К ЭНЕРГИИ! ПОЭТОМУ 4</t>
      </text>
    </comment>
    <comment authorId="0" ref="U22">
      <text>
        <t xml:space="preserve">КОПЬЁ КОНЕЧНО ПОЛЕЗНОЕ! НО ПЕРЕБИВАЕТСЯ ФАВОНИЕМ...</t>
      </text>
    </comment>
    <comment authorId="0" ref="AA22">
      <text>
        <t xml:space="preserve">ПЕРСОНАЖИ:
ЭОЛА
ФРЕМИНЕ
РЭЙЗОР
0,5 БАЛЛОВ ЗА СИНЬ ЯНЬ</t>
      </text>
    </comment>
    <comment authorId="0" ref="C23">
      <text>
        <t xml:space="preserve">ПЕРСОНАЖ:
ТИОРИ
АЛЬБЕДО
ШИЛОНЕН
ТИПА МОЖНО БЫЛО БЫ НА ЛЮБОГО ПОСТАВИТЬ, НО БАФФ ОТ ЗАЩИТЫ. А ЭТО НЕ СУПЕР ЛЕГКО. ХОТЯ КТО ЗАПРЕЩАЕТ?</t>
      </text>
    </comment>
    <comment authorId="0" ref="I23">
      <text>
        <t xml:space="preserve">МОЖНО ПОСТАВИТЬ ЛЮБОМУ ПЕРСОНАЖУ. МС + ВЭ О ЧЁМ ЕЩЁ МОЖЕТ МЕЧАТЬ КАТАЛИЗ?!</t>
      </text>
    </comment>
    <comment authorId="0" ref="O23">
      <text>
        <t xml:space="preserve">ПЕРСОНАЖИ:
ЧАСКА
ТИГНАРИ
ГАНЬ ЮЙ
ЛИНИ
ПЕРЕБИТЬ КОНЕЧНО НЕ ЛЕГКО! НО ЕГО АКТИВАЦИЯ... ЭТО СЛИШКОМ ТЯЖЕЛО!</t>
      </text>
    </comment>
    <comment authorId="0" ref="U23">
      <text>
        <t xml:space="preserve">ПЕРСОНАЖИ:
САЙНО
АРЛЕКИНО
ХУ ТАО(0,5 БАЛЛОВ)</t>
      </text>
    </comment>
    <comment authorId="0" ref="AA23">
      <text>
        <t xml:space="preserve">ПУШКА БОЛЬШЕ ЗАТОЧЕНА НА СА, ЧЕМ НА ВЭ. ПОЭТОМУ ЭТО ПРЯМ КРУТАЯ ПУШКА В БАЛАНСЕ. ЖАЛКО КОНЕЧНО ОРУЖИЕ ЭТО УЖЕ НЕЛЬЗЯ ДОСТАТЬ...
ПОДХОДИТ ЛЮБОМУ ДД ОТ СА</t>
      </text>
    </comment>
    <comment authorId="0" ref="C24">
      <text>
        <t xml:space="preserve">ПРОСТО ХОРОШАЯ ПУШКА НА СА. МОЖЕШЬ ПОСТАВИТЬ НА ЛЮБОГО ДД ОТ СА. НО ЛЕГКО ПЕРЕБИВАЕТСЯ...</t>
      </text>
    </comment>
    <comment authorId="0" ref="D24">
      <text>
        <t xml:space="preserve">ВЫДАЁТСЯ ЗА КВЕСТ В ИНАДЗУМЕ БЕСПЛАТНО!</t>
      </text>
    </comment>
    <comment authorId="0" ref="I24">
      <text>
        <t xml:space="preserve">НА САМОМ ДЕЛЕ ОЧЕНЬ ВОСТРЕБОВАНОЕ ОРУЖИЕ! ХОТЬ И КОНКУРЕНТОВ МНОГО, НО ОН ЛУЧШИЙ ИЗ ЛУЧШИХ!</t>
      </text>
    </comment>
    <comment authorId="0" ref="M24">
      <text>
        <t xml:space="preserve">КОРОЛЕВКИЙ!
ПОНЯТЬ ПРОСТО СЛОЖНО...</t>
      </text>
    </comment>
    <comment authorId="0" ref="O24">
      <text>
        <t xml:space="preserve">ХОТЬ И ОРУЖИЕ ВСТАЁТ НА ВСЕХ ПОДРЯД, НО ЕСТЬ КРАФТОВЫЕ 4⭐️ ОРУЖИЯ, КОТОРЫЕ ЛЕГКО В СРЕДНЕМ ПЕРЕБЬЮТ ЭТУ ПУШКУ</t>
      </text>
    </comment>
    <comment authorId="0" ref="U24">
      <text>
        <t xml:space="preserve">ПО ИДЕЕ МОЖНО ПОСТАВИТЬ НА ЛЮБОГО ДД, НО НУЖНО ГОРЕНИЕ. НО ТАМ ГДЕ ГОРЕНИЕ ЕСТЬ, ТАМ БЫ ЖЕЛАТАЛЬНО ЭМИЛИЮ ИМЕТЬ! И ЕЙ БЫ КОПЬЁ ДАТЬ ПО НОРМАЛЬНОМУ. КОРОЧЕ ВСЁ ОЧЕНЬ ТЯЖЕЛО ТУТ С ГИБКОСТЬ. 
Я ПОСТАВЛЮ 3 БАЛЛА</t>
      </text>
    </comment>
    <comment authorId="0" ref="AA24">
      <text>
        <t xml:space="preserve">ОРУЖИЕ ОЧЕНЬ СИЛЬНОЕ! И ТАК-ТО ПЕРЕБИТЬ ЕГО НЕВЕРОЯТНО СЛОЖНО! НО К СОЖАЛЕНИЮ ОНО ИВЕНТОВОЕ...</t>
      </text>
    </comment>
    <comment authorId="0" ref="C25">
      <text>
        <t xml:space="preserve">ОРУЖИЕ ХОРОШОЕ КОНЕЧНО, НО ЕСТЬ КУЧА АЛЬТЕРНАТИВ ДАЖЕ СРЕДИ КРАФТА!
ПОДХОДИТ ЛЮБОМУ ДД ОТ СА</t>
      </text>
    </comment>
    <comment authorId="0" ref="I25">
      <text>
        <t xml:space="preserve">НУ ПО ФАКТУ ТИПА КРИТОВАЯ ЗАТЫЧКА, НО НА ДЕЛЕ РАБОТАЕТ ТОЛЬКО С НЕФЕР И ЛАУМОЙ С6.
А ТИПА ТЕ 8 ШК НА БАЗОВОМ УРОВНЕ. КОНЕЧНО ХОРОШО! НО...
КАК-ТО НЕ СИЛЬНО ХОЧУ ИЗ-ЗА ЭТОГО ОЦЕНКУ ПОДНИМАТЬ СИЛЬНО!</t>
      </text>
    </comment>
    <comment authorId="0" ref="O25">
      <text>
        <t xml:space="preserve">ПЕРСОНАЖИ:
ФИШЛЬ
ГАНЬ ЮЙ
ОРОРОН</t>
      </text>
    </comment>
    <comment authorId="0" ref="U25">
      <text>
        <t xml:space="preserve">ОЧЕНЬ ПОЛЕЗНОЕ КОПЬЁ ДЛЯ ДД ОТ СА, ЖАЛКО ЧТО ЗА ИВЕНТ...</t>
      </text>
    </comment>
    <comment authorId="0" ref="AA25">
      <text>
        <t xml:space="preserve">НА САМОМ ДЕЛЕ АКТИВАЦИЯ НЕ ТАКАЯ И СЛОЖНАЯ, А ДАЁТ СА ВЕСЬМА ПРИЛИЧНО!
ХОТЬ МЕНЬШЕ ЧЕМ ДРУГИЕ ДВУРУКИ 5⭐️
ПОЭТОМУ ОРУЖИЕ КОНЕЧНО ГИБКОЕ НО ДОСТАТОЧНО СРЕДНЕЕ</t>
      </text>
    </comment>
    <comment authorId="0" ref="C26">
      <text>
        <t xml:space="preserve">ПРОСТО ХОРОША ПУШКА, КОТОРАЯ К СОЖАЛЕНИЮ ПОЧТИ ВСЕГДА ПЕРЕБИВАЕТСЯ КРАФТОМ.</t>
      </text>
    </comment>
    <comment authorId="0" ref="I26">
      <text>
        <t xml:space="preserve">ПЕРСОНАЖИ:
СТРАННИК
РИЗЛИ</t>
      </text>
    </comment>
    <comment authorId="0" ref="O26">
      <text>
        <t xml:space="preserve">В ЦЕЛОМ ХОРОШИЕ СТАТЫ + ЛЁГКАЯ АКТИВАЦИЯ ПОД ЛЮБОГО КАРМАННИКА!
НАПРИМЕР:
ФИШЛЬ
ФАРУЗАН
ВЕНТИ
ОРОРОН
ЯГОДКА</t>
      </text>
    </comment>
    <comment authorId="0" ref="U26">
      <text>
        <t xml:space="preserve">ОЧЕНЬ ПОХОЖЕ НА КРЕПЯЩИЙ ШИП, ТОЛЬКО БОЛЕЕ ГИБКИЙ! ВЕДЬ ПОСТАВИТЬ МОЖНО ВООБЩЕ НА КОГО УГОДНО! ЖАЛКО ЧТО ИВЕНТ...</t>
      </text>
    </comment>
    <comment authorId="0" ref="AA26">
      <text>
        <t xml:space="preserve">ПЕРСОНАЖИ:
КИНИЧ
МАВУИКА
НАВИЯ
ДИЛЮК
НО ПЕРЕБИТЬ ЭТУ ПУШКУ ЛЕГКО. ТА ЖЕ ТЕНЬ ВОЛНЫ!</t>
      </text>
    </comment>
    <comment authorId="0" ref="C27">
      <text>
        <t xml:space="preserve">В ОТЛИЧИИ ОТ ЖАЛА, У НАС ТУТ ПРЯМ ФУЛЛ ВЭ. ПОЭТОМУ МОЖНО ИСПОЛЬЗОВАТЬ КАК АЛЬТЕРНАТИВУ НЕБЕСНОГО ИЛИ АМЭНОМА. НО ТУТ ЕСТЬ НЬЮАНС, УРОН РАСТЁТ ТОЛЬКО У ПЕРСОВ ЧЕРЕЗ ЕШКУ. А ТАКИХ НЕ МНОГО!
ВЕДЬ ДЛЯ ВЭ МОЖНО И ФАВОНИЙ С ЦЕРЕМОНИЕЙ ВЗЯТЬ!
ПЕРСОНАЖИ:
ФУРИНА
ЛИННЕТ
ОСТАЛЬНЫМ СТОЛЬКО ВЭ НЕ НАДО! ВОТ ТАКИЕ ДЕЛА...</t>
      </text>
    </comment>
    <comment authorId="0" ref="I27">
      <text>
        <t xml:space="preserve">ПОСТАВИТЬ МОЖНО ЛЮБОМУ ДД ОТ СА, НО ЛЕГКО ЗАМЕНИМ!</t>
      </text>
    </comment>
    <comment authorId="0" ref="O27">
      <text>
        <t xml:space="preserve">ПЕРСОНАЖИ:
ЧАСКА
0,5 ЗА ПЕРСОНАЖЕЙ:
ГАНЬ ЮЙ
ТИГНАРИ
ЛИНИ</t>
      </text>
    </comment>
    <comment authorId="0" ref="U27">
      <text>
        <t xml:space="preserve">ПОСТАВИТЬ МОЖНО ЛЮБОМУ ДД ОТ СА
ХОТЬ И НЕ КРИТОВАЯ ЗАТЫЧКА, НО ЗАТО СА МНОГИМ НУЖНА ПЕРСАМ</t>
      </text>
    </comment>
    <comment authorId="0" ref="AA27">
      <text>
        <t xml:space="preserve">ОРУЖИЕ КОНЕЧНО СТАНЕТ ПОД ЛЮБОГО ДД! НО ТОЛКУ ОТ ЭТОГО МАЛО... ТАК КАК ОРУЖИЕ ОЧЕНЬ СЛАБОЕ</t>
      </text>
    </comment>
    <comment authorId="0" ref="B28">
      <text>
        <t xml:space="preserve">В ПИКЕ НЕ ХУЖЕ 5⭐️ ПУШЕК. ЖАЛКО ЧТО ПИКОВУЮ ФОРМУ МОГУТ РАССКРЫТЬ ЕДИНИЦЫ...</t>
      </text>
    </comment>
    <comment authorId="0" ref="C28">
      <text>
        <t xml:space="preserve">ОРУЖИЕ ОЧЕНЬ СИЛЬНОЕ, КАК ДЛЯ 4⭐️ ПУШКИ. И ПОСТАВИТЬ МОЖНО ЛЮБОМУ ДД! НО!
ЛУЧШИЕ ВАРИАНТЫ:
ХАЙТАМ
АЯКА
ФУРИНА И СИН ЦЮ(0,5 БАЛЛОВ)
СКИРК(0,5 БАЛЛОВ)
⛔️НЕ РАБОТАЕТ С КАРМАНА⛔️
ТАК ТО НЕ В ПИКЕ ЕЁ ПЕРЕБИТЬ НЕ ТАК УЖ ТРУДНО! ТАК ЧТО ПУШКА, ТАКАЯ СЕБЕ ПО ГИБКОСТИ</t>
      </text>
    </comment>
    <comment authorId="0" ref="I28">
      <text>
        <t xml:space="preserve">ПОСТАВИТЬ МОЖНО ЛЮБОМУ ДД ОТ СА, НО ЛЕГКО ЗАМЕНИМ!</t>
      </text>
    </comment>
    <comment authorId="0" ref="N28">
      <text>
        <t xml:space="preserve">САМО ПО СЕБЕ ОРУЖИЕ ДАЁТ КАК РАЗ ТАКИ МНОГО, ПРОСТО ПОДХОДИТ ТОЛЬКО СИДЖВИНИ. И ТО БОЛЬШЕ НА КОНСТАХ. А ТАК ОНА СПОКОЙНО И БЕЗ СИГНЫ ИГРАЕТ!</t>
      </text>
    </comment>
    <comment authorId="0" ref="O28">
      <text>
        <t xml:space="preserve">ПЕРСОНАЖИ:
СИДЖВИНИ
0,5 БАЛЛОВ ЗА Е ЛАНЬ</t>
      </text>
    </comment>
    <comment authorId="0" ref="T28">
      <text>
        <t xml:space="preserve">МНОГИЕ ПОДУМАЮТ, ЧТО ОНО НЕ ОТЛИЧАЕТСЯ ОТ НЕБЕСНОГО ВЕЛИЧИЯ. НО! ЭТО НЕ ТАК.
ТУТ ЦИФРЫ РЕАЛЬНО ЛУЧШЕ. ХОТЬ И КАЗАЛОСЬ БЫ ПУШКИ ДОЛЖНЫ БЫТЬ ОДИНАКОВЫ!</t>
      </text>
    </comment>
    <comment authorId="0" ref="U28">
      <text>
        <t xml:space="preserve">ПЕРСОНАЖИ:
СЯН ЛИН
РАЙДЭН
ШЭН ХЭ
РОЗАРИЯ
ИАНСАН
САЙНО
ТАК ЧИСТО НАПИСАЛ ОТ СЕБЯ, ПОТОМУ ЧТО МНОГИЕ ПРОСИЛИ СКАЗАТЬ НА КОГО КОПЬЁ! А ТАК-ТО ПОНЯТНОЕ ДЕЛО ПЕРЕБИТЬ ЕГО ЛЕГКО, ТЕМ ЖЕ УЛОВОМ</t>
      </text>
    </comment>
    <comment authorId="0" ref="AA28">
      <text>
        <t xml:space="preserve">НА САМОМ ДЕЛЕ ПУШКА ДАЁТ ОЧЕНЬ МНОГО! А ЕСЛИ ВЗЯТЬ ПИК, ТО ТАМ ДАЖЕ ЛУЧШЕ КОСТИ ДРАКОНА. НО УСЛОВИЯ НЕ ПРЯМ ЛЁГКИЕ. ПОЭТОМУ В СРЕДНЕМ КРУТОЕ ОРУЖИЕ, КОТОРОЕ ПЕРЕБИТЬ СЛОЖНОВАТО!
НО ВСЁ ТАКИ ТЕНЬ ВОЛНЫ ЛУЧШЕ!
ПОДХОДИТ ЛЮБОМУ ДД ОТ СА</t>
      </text>
    </comment>
    <comment authorId="0" ref="C29">
      <text>
        <t xml:space="preserve">ДЛЯ УРОНА МЫ КОНЕЧНО БРАТЬ НЕ БУДЕМ НИКОГДА! НО!
РАДИ ПНЕВМО\УСИИ
МОЖНО КОМУ УГОДНО ВЛЕПИТЬ. ПОЭТОМУ ДАВАЙТЕ СДЕЛАЕМ ВИД, ЧТО ТУТ БОЛЬШАЯ ГИБКОСТЬ)))</t>
      </text>
    </comment>
    <comment authorId="0" ref="D29">
      <text>
        <t xml:space="preserve">ВЫДАЁТСЯ ЗА КВЕСТ В ФОНТЕЙНЕ БЕСПЛАТНО!</t>
      </text>
    </comment>
    <comment authorId="0" ref="I29">
      <text>
        <t xml:space="preserve">ПОСТАВИТЬ МОЖНО ЛЮБОМУ ДД ОТ СА
ХОТЬ И НЕ КРИТОВАЯ ЗАТЫЧКА, НО ЗАТО СА МНОГИМ НУЖНА КАТИЛАКАМ!</t>
      </text>
    </comment>
    <comment authorId="0" ref="O29">
      <text>
        <t xml:space="preserve">ПЕРСОНАЖИ:
ГАНЬ ЮЙ
САРА
0,5 БАЛЛОВ ЗА ОРОРОНА</t>
      </text>
    </comment>
    <comment authorId="0" ref="U29">
      <text>
        <t xml:space="preserve">УНИКАЛЬНОЕ, НО БЕСПОЛЕЗНОЕ КОПЬЁ! ЛУЧШЕ ФАВОНИЙ!
ПЕРСОНАЖИ:
КАЧИНА
ЮНЬ ДЗИНЬ</t>
      </text>
    </comment>
    <comment authorId="0" ref="AA29">
      <text>
        <t xml:space="preserve">ХОТЬ И ОРУЖИЕ ВСТАЁТ НА ВСЕХ ПОДРЯД, НО ЕСТЬ КРАФТОВЫЕ 4⭐️ ОРУЖИЯ, КОТОРЫЕ ЛЕГКО В СРЕДНЕМ ПЕРЕБЬЮТ ЭТУ ПУШКУ</t>
      </text>
    </comment>
    <comment authorId="0" ref="C30">
      <text>
        <t xml:space="preserve">ПЕРСОНАЖИ:
АЯТО
КЛОРИНДА
СКИРК
КЭ ЦИН
НА САМОМ ДЕЛЕ ЕСТЬ КРЕПКАЯ КОСТЬ И ЭШУ, КОТОРЫЕ ТУПО ТАКИЕ ЖЕ ПО ЦИФРАМ, КАК ЧЁРНЫЙ!</t>
      </text>
    </comment>
    <comment authorId="0" ref="I30">
      <text>
        <t xml:space="preserve">НА САМОМ ДЕЛЕ ДАЁТ ТО КАК БЫ МНОГО, НО ЛИШЬ СПУСТЯ 16 сек.
ИЗ-ЗА ЧЕГО ПРОИГРЫВАЕТ ВСЕМ ДРУГИМ 5⭐️
А ТАК-ТО ПОДХОДИТ ЛЮБОМУ ДД!</t>
      </text>
    </comment>
    <comment authorId="0" ref="O30">
      <text>
        <t xml:space="preserve">ХОРОШАЯ СТАТОВАЯ ПУШКА. ХОРОШАЯ БАЗА, ВЭ И АФФИКС!
АКТИВАЦИЯ ЛЕГКА! НУ ТОП ПУШКА! ПОД ЛЮБОГО ЛУЧНИКА!</t>
      </text>
    </comment>
    <comment authorId="0" ref="U30">
      <text>
        <t xml:space="preserve">ПРОСТО ХОРОШАЯ ПУШКА ДЛЯ ДД ОТ СА</t>
      </text>
    </comment>
    <comment authorId="0" ref="AA30">
      <text>
        <t xml:space="preserve">ПЕРСОНАЖИ:
ЭОЛА
БЭЙ ДОУ
ДЭХЬЯ
РЭЙЗОР</t>
      </text>
    </comment>
    <comment authorId="0" ref="C31">
      <text>
        <t xml:space="preserve">ПЕРСОНАЖИ:
АЛЬБЕДО
ТИОРИ</t>
      </text>
    </comment>
    <comment authorId="0" ref="I31">
      <text>
        <t xml:space="preserve">ПОСТАВИТЬ МОЖНО ЛЮБОМУ ДД ОТ СА, НО ЛЕГКО ЗАМЕНИМ!</t>
      </text>
    </comment>
    <comment authorId="0" ref="O31">
      <text>
        <t xml:space="preserve">ПЕРСОНАЖИ:
ЛИНИ
ЁИМИЯ
ЧАСКА
НО ЛЕГКО ПЕРЕБИВАЕТСЯ...</t>
      </text>
    </comment>
    <comment authorId="0" ref="U31">
      <text>
        <t xml:space="preserve">ПЕРСОНАЖИ:
СЯН ЛИН
ШЭН ХЭ
РАЙДЭН
ПРОСТО ХОРОШАЯ ПУШКА. И НЕ ТОП, И НЕ ПЛОХАЯ. УЧИТЫВАЯ, ЧТО У НАС ВЫБОРА ОСОБО НЕТ. ТО ЛУЧШЕ ХОТЬ ЧТО-ТО</t>
      </text>
    </comment>
    <comment authorId="0" ref="AA31">
      <text>
        <t xml:space="preserve">ПОСТАВИТЬ МОЖНО ВООБЩЕ НА КОГО УГОДНО, НО ТОЛКУ МАЛО, ВЕДЬ УРОН СЛАБЫЙ</t>
      </text>
    </comment>
    <comment authorId="0" ref="B32">
      <text>
        <t xml:space="preserve">НА САМОМ ДЕЛЕ ИЗ-ЗА ТОГО, ЧТО У МЕЧЕЙ ВСЁ ЯВЛЯЕТСЯ КРИТОВЫМИ ЗАТЫЧКАМИ. ТО ОРУЖКА НА СА ЭТО ПРЯМ ЗОЛОТО! И ОН ЧАСТЕНЬКО ПЕРЕБИВАЕТ ДРУГИЕ 5⭐️ ПУШКИ.</t>
      </text>
    </comment>
    <comment authorId="0" ref="C32">
      <text>
        <t xml:space="preserve">КОРОЧЕ ДА, ПОСТАВИТЬ ТО КОНЕЧНО МОЖНО, НО УСЛОВИЯ ТЯЖКИЕ. И ДД ОТ СА НА ПОЛЕ НЕ ТАК МНОГО...</t>
      </text>
    </comment>
    <comment authorId="0" ref="I32">
      <text>
        <t xml:space="preserve">ПЕРСОНАЖИ:
МУАЛАНИ
КОКОМИ
ТАК-ТО ЗАМЕНЫ ЕСТЬ, НО ТАК КАК КРАФТОВАЯ, ТО БОЛЕЕ МЕНЕЕ НЕ ПЛОХО!</t>
      </text>
    </comment>
    <comment authorId="0" ref="O32">
      <text>
        <t xml:space="preserve">РОФЛ КОТОРЫЙ МОЖНО ПОСТАВИТЬ КОМУ УГОДНО, НО КАК БЫ ТОЛКУ ОТ ЭТОГО НИКАКОГО НЕТ...
ФАВОНИЙ ИЛИ ЦЕРЕМОНИЯ. ВОТ ЭТО ОРУЖИЕ!</t>
      </text>
    </comment>
    <comment authorId="0" ref="U32">
      <text>
        <t xml:space="preserve">НА САМОМ ДЕЛЕ УНИКАЛЬНОЕ КОПЬЁ, КОТОРОЕ ПРОИГРЫВАЕТ ТОЛЬКО БП ПУШКАМ И БУРУ. НО ВСЕХ ИХ ДОСТАТЬ НЕ ЛЕГКО. КАК В ЦЕЛОМ И ЭТО КОПЬЁ)))
НО В ЛЮБОМ СЛУЧАЕМ ПРИГОДИТСЯ:
ЭСКОФЬЕ
ЭМИЛИЯ
КАЧИНА</t>
      </text>
    </comment>
    <comment authorId="0" ref="AA32">
      <text>
        <t xml:space="preserve">ОЧЕНЬ СОМНТИЕЛЬНАЯ ПУШКА!
КАК БЫ И МНОГО ДАЁТ. НО  КАК ЭТО МНОГО ПОЛУЧИТЬ? ВОПРОС СЛОЖНЫЙ. ВЕДЬ СА ТО МОЖНО ОТ БЕННЕТА ВЗЯТЬ, А ОТ ЭЛЕМ. УРОН...
КОРОЧЕ ОРУЖИЕ ОЧЕНЬ ТАКОЕ СЕБЕ. И КАК БЫ НОРМ, НО ЗАЧЕМ? ЕСЛИ ЕСТЬ КОСТЬ ДРАКОНА</t>
      </text>
    </comment>
    <comment authorId="0" ref="C33">
      <text>
        <t xml:space="preserve">ПРОСТО ПУШКА НА СА
ПЕРЕБИТЬ ЛЕГКО!</t>
      </text>
    </comment>
    <comment authorId="0" ref="I33">
      <text>
        <t xml:space="preserve">ПРОБЛЕМА В ТОМ, ЧТО ЭТО ДАЖЕ КАК КРИТОВАЯ ЗАТЫЧКА ТАКОЕ СЕБЕ... ВЕДЬ ЕСТЬ СИГНА НЁВИКА, КОТОРАЯ ДАЁТ БОЛЬШЕ И ПРИ ФУРИНЕ РАБОТАЕТ С МНОГИМИ. А ТУТ ТОЛЬКО МУАЛАНИ И ДЛЯ НЁВИКА КАК ЗАТЫЧКА...</t>
      </text>
    </comment>
    <comment authorId="0" ref="O33">
      <text>
        <t xml:space="preserve">ПЕРСОНАЖИ:
ЁИМИЯ
ЭЛОЙ
УНИКАЛЬНЫЙ БАФФ И ТОТ ПЕРЕБИВАЮТ...</t>
      </text>
    </comment>
    <comment authorId="0" ref="U33">
      <text>
        <t xml:space="preserve">ЭТО ДАЖЕ ЗАТЫЧКОЙ НЕ НАЗОВЁШЬ. ВЕДЬ АКТИВАЦИЯ ТАМ ПРОСТО ДИКАЯ... ТИПА ИГРАТЬ ТОЛЬКО С ИНЕФФОЙ. И НИКАК ИНАЧЕ... СЛИШКОМ УЗКОНАПРАЛЕННО!</t>
      </text>
    </comment>
    <comment authorId="0" ref="AA33">
      <text>
        <t xml:space="preserve">ПЕРСОНАЖИ:
ДЭХЬЯ
0,5 БАЛЛОВ ЗА ДОРИ</t>
      </text>
    </comment>
    <comment authorId="0" ref="C34">
      <text>
        <t xml:space="preserve">ПЕРСОНАЖИ:
АЯТО
КЛОРИНДА
СКИРК
ТУПО ЧЁРНЫЙ МЕЧ БЕЗ ХИЛЛА</t>
      </text>
    </comment>
    <comment authorId="0" ref="I34">
      <text>
        <t xml:space="preserve">ФАКТИЧЕСКИ ЭТО НЕ КРИТОВАЯ ПУШКА И ПОДХОДИТ ТОЛЬКО ЯЭ МИКО. НУ КТО-ТО РАССКАЗЫВАЕТ О НАХИДЕ, А ПО ФАКТУ НАХИДЕ МОЖНО СТАВИТЬ 4⭐️ ПУШКИ И БУДЕТ ПРИМЕРНО ТОЖЕ САМОЕ...</t>
      </text>
    </comment>
    <comment authorId="0" ref="N34">
      <text>
        <t xml:space="preserve">ЧИСТО КРИТЫ ТАЩАТ!</t>
      </text>
    </comment>
    <comment authorId="0" ref="O34">
      <text>
        <t xml:space="preserve">ПОСТАВИТЬ МОЖНО НА КОГО УГОДНО, НО ТОЛКУ МАЛО</t>
      </text>
    </comment>
    <comment authorId="0" ref="T34">
      <text>
        <t xml:space="preserve">ИЗ-ЗА ОТСУТВИЯ ЦЕРЕМОНИИ И НЕВОЗМОЖНОСТИ ИМЕТЬ 10 ФАВОНИЕВ. У КОПЕЙЩИКОВ БОЛЬШАЯ ЗАВИСИМОСТЬ К ЭНЕРГИИ! ПОЭТОМУ 4</t>
      </text>
    </comment>
    <comment authorId="0" ref="U34">
      <text>
        <t xml:space="preserve">КОПЬЁ КОНЕЧНО ПОЛЕЗНОЕ! НО ПЕРЕБИВАЕТСЯ ФАВОНИЕМ...</t>
      </text>
    </comment>
    <comment authorId="0" ref="AA34">
      <text>
        <t xml:space="preserve">ПЕРСОНАЖИ:
ДЭХЬЯ</t>
      </text>
    </comment>
    <comment authorId="0" ref="C35">
      <text>
        <t xml:space="preserve">ПЕРСОНАЖИ:
ФУРИНА
ХАЙТАМ
ЛИННЕТ
ТИОРИ
АЛЬБЕДО
55% ВЭ ЕЩЁ БОЛЕЕ МЕНЕЕ НУЖНЫ ДД, ВЕДЬ ТАМ У ВСЕХ ПРОБЛЕМЫ СО СТАБИЛЬНОСТЬЮ!</t>
      </text>
    </comment>
    <comment authorId="0" ref="I35">
      <text>
        <t xml:space="preserve">КАЖЕТСЯ ЧТО МОЖНО ПОСТАВИТЬ КОМУ УГОДНО, НО НА ДЕЛЕ ЭТО ВСЕГДА ЛАУМА И ТОЛЬКО ЛАУМА</t>
      </text>
    </comment>
    <comment authorId="0" ref="O35">
      <text>
        <t xml:space="preserve">В ЦЕЛОМ НИКОМУ НЕ НАДО! ПОЭТОМУ 0 ДАМ. ЧИСТО ВНАЧАЛЕ ИГРЫ ПОНОСИТЬ И ЗАБЫТЬ!</t>
      </text>
    </comment>
    <comment authorId="0" ref="U35">
      <text>
        <t xml:space="preserve">ФИЗ КОПЕЙЩИКОВ НЕ СУЩЕСТВУЕТ! И ДАЖЕ РОЗА СИТУАЦИЮ НЕ СПАСАЕТ!</t>
      </text>
    </comment>
    <comment authorId="0" ref="AA35">
      <text>
        <t xml:space="preserve">ПОСТАВИТЬ МОЖНО ПОЧТИ КАЖДОМУ ДД. НО ЦИФРЫ НЕ БОЛЬШИЕ, ТА И ЗАМЕН КУЧА + ИВЕНТОВОЕ...</t>
      </text>
    </comment>
    <comment authorId="0" ref="C36">
      <text>
        <t xml:space="preserve">КАК КРИТОВАЯ ЗАТЫЧКА, ТАКОЕ СЕБЕ... АКТИВИРОВАТЬ МОЖЕТ ТОЛЬКО ФУРИНА!</t>
      </text>
    </comment>
    <comment authorId="0" ref="I36">
      <text>
        <t xml:space="preserve">ОН НА САМОМ ДЕЛЕ ПРОИГРАЕМ И АТЛАСУ И РУКОВОДСТВУ. ОРУЖИЕ ОЧЕНЬ СОМНИТЕЛЬНОЕ!
ДАЖЕ ИСПОЛЬЗОВАТЬ ХЗ НА КОГО... ОСОБЕННО ПРИ СУЩЕСТВОВАНИИ ЦЕРЕМОНИИ!</t>
      </text>
    </comment>
    <comment authorId="0" ref="O36">
      <text>
        <t xml:space="preserve">ОРУЖИЕ ОЧЕНЬ СТРАННОЕ, ВЕДЬ ПО ФАКТУ РАБОТАЕТ ТОЛЬКО С СЕТОСОМ. ОСТАЛЬНЫЕ ПРОСТО МОГУТ ТАСКАТЬ ЭТОТ ЛУК КАК ЗАТЫЧКУ!
ПОЭТОМУ КАК БЫ ПОСТАВИТЬ МОЖНО НА ВСЕХ, А НА ДЕЛЕ ТОЛЬКО СЕТОС!</t>
      </text>
    </comment>
    <comment authorId="0" ref="T36">
      <text>
        <t xml:space="preserve">НЕВЕРОЯТНО СТРАНАЯ КОМБИНАЦИЯ. ВЭ И УРОН ОБЫЧНЫХ... ЦИФРЫ КОНЕЧНО СРЕДНИЕ, НО... КОМУ ЭТО ВООБЩЕ НАДО? ВОПРОС ОТКРЫТЫЙ!</t>
      </text>
    </comment>
    <comment authorId="0" ref="U36">
      <text>
        <t xml:space="preserve">МОЖЕТ САЙНО?!
И ТО У ЕГО ЕСТЬ КИТАИН ЕСЛИ НАДО! РАЙДЭН НЕ ВАРИАНТ, У ЕЁ УРОН ОТ УЛЬТЫ, А НЕ УДАРОВ!</t>
      </text>
    </comment>
    <comment authorId="0" ref="C37">
      <text>
        <t xml:space="preserve">ПРОСТО ПУШКА НА СА
ЛЕГКО ПЕРЕБИТЬ!</t>
      </text>
    </comment>
    <comment authorId="0" ref="I37">
      <text>
        <t xml:space="preserve">ПОСТАВИТЬ МОЖНО ЛЮБОМУ ДД ОТ СА, НО ЛЕГКО ЗАМЕНИМ!</t>
      </text>
    </comment>
    <comment authorId="0" ref="O37">
      <text>
        <t xml:space="preserve">ФИЗ ФИШКА? ЗАБУДЕМ...</t>
      </text>
    </comment>
    <comment authorId="0" ref="U37">
      <text>
        <t xml:space="preserve">ФИЗ КОПЕЙЩИКОВ НЕ СУЩЕСТВУЕТ! И ДАЖЕ РОЗА СИТУАЦИЮ НЕ СПАСАЕТ!</t>
      </text>
    </comment>
    <comment authorId="0" ref="C38">
      <text>
        <t xml:space="preserve">МНОГИЕ СТАВЯТ МЕЧ ТОЛЬКО НА БЕННЕТА, НО Я БЫ И КЛОРИНДЕ С ХАЙТАМОМ ТОЖЕ СТАВИЛ
А ЧТО, ЩИТ ДАЛ И ВСЁ! ТОП ПУШКА. ХОТЯ КОНЕЧНО ДА, ЕСТЬ ЗАМЕНЫ...</t>
      </text>
    </comment>
    <comment authorId="0" ref="I38">
      <text>
        <t xml:space="preserve">ПОСТАВИТЬ МОЖНО ЛЮБОМУ ДД ОТ СА, НО ЛЕГКО ЗАМЕНИМ!</t>
      </text>
    </comment>
    <comment authorId="0" ref="O38">
      <text>
        <t xml:space="preserve">ПЕРСОНАЖИ:
ЧАСКА
ТИГНАРИ
ГАНЬ ЮЙ
ЛИНИ(В ПАР\ТАЯНИЕ)
ЛУК ТАКОЙ ЖЕ КАК КОРОЛЬ, ТОЛЬКО АКТИВАЦИЯ ХУЖЕ!
ЛЕГКО ПЕРЕБИВАЕТСЯ!</t>
      </text>
    </comment>
    <comment authorId="0" ref="C39">
      <text>
        <t xml:space="preserve">ПЕРСОНАЖИ:
АЯТО
КЛОРИНДА
СКИРК
КЭ ЦИН
ТУПО ЧЁРНЫЙ МЕЧ БЕЗ ХИЛЛА</t>
      </text>
    </comment>
    <comment authorId="0" ref="H39">
      <text>
        <t xml:space="preserve">ОРУЖИЕ ДАЁТ МЕГА МНОГО! И ПРИ ЭТОМ РАБОТАЕТ СТАБИЛЬНО! ЖАЛКО ЧТО ПОДХОДИТ ТОЛЬКО ПОД ДВУХ ПЕРСОВ...</t>
      </text>
    </comment>
    <comment authorId="0" ref="I39">
      <text>
        <t xml:space="preserve">ПЕРСОНАЖИ:
МУАЛАНИ
НЁВИЛЛЕТ</t>
      </text>
    </comment>
    <comment authorId="0" ref="N39">
      <text>
        <t xml:space="preserve">ЛУК МЕГА СЛАБЫЙ!</t>
      </text>
    </comment>
    <comment authorId="0" ref="O39">
      <text>
        <t xml:space="preserve">ПЕРСОНАЖИ:
Е ЛАНЬ
СИДЖВИНИ
ДИОНА</t>
      </text>
    </comment>
    <comment authorId="0" ref="C40">
      <text>
        <t xml:space="preserve">БЕННЕТ И СИН ЦЮ
ВСЕ ОТСАЛЬНЫЕ ОТ ЭТОГО МЕЧА ОТКАЖУТСЯ. ХОТЯ ТОТ ЖЕ СИНИЙ ТОЖЕ ЦЕРЕМОНИЮ ИЛИ ФАВОНИЙ ЛУЧШЕ ВОЗЬМЁТ. КОРОЧЕ ТОЛЬКО БЕННЕТ...</t>
      </text>
    </comment>
    <comment authorId="0" ref="I40">
      <text>
        <t xml:space="preserve">СПИСОК БОЛЬШОЙ, НО ПЕРЕБИТЬ НЕ ТРУДНО!</t>
      </text>
    </comment>
    <comment authorId="0" ref="O40">
      <text>
        <t xml:space="preserve">ОЧЕРЕДНАЯ СА И МС 4⭐️ ЗАТЫЧКА!
ТОЛЬКО ХУЖЕ ДРУГИХ, ИЗ-ЗА ДЛИТЕЛЬНОСТИ В 6 сек.
</t>
      </text>
    </comment>
    <comment authorId="0" ref="C41">
      <text>
        <t xml:space="preserve">НА САМОМ ДЕЛЕ ПУШКА НА МС ПОЛЕЗНАЯ, НО И ИМБОЙ ЕЁ НЕ НАЗОВЁШЬ. МНЕ ВСЁ ТАКИ ГЛУБИНЫ БОЛЬШЕ НРАВЯТСЯ!
НО ГИБКОСТЬ ЭТО ЕЁ НЕ ОТМЕНЯЕТ!</t>
      </text>
    </comment>
    <comment authorId="0" ref="I41">
      <text>
        <t xml:space="preserve">ПРО КОКОМИ ВСЕ ЗНАЮТ!
НО ТО ЧТО МОЖНО ПОСТАВИТЬ МУАЛАНИ, НИКТО НЕ УПОМИНАЕТ... НО ДЛЯ МУЛАТКИ ЭТО ЧИСТО ЗАТЫЧКА!</t>
      </text>
    </comment>
    <comment authorId="0" ref="O41">
      <text>
        <t xml:space="preserve">СКОРЕЙ ВСЕГО У ВАС ЭТОГО ЛУКА ВООБЩЕ НЕТ! НО ДАЖЕ ЕСЛИ ЕСТЬ, СТАВИМ МЫ ЕГО ТОЛЬКО НА ЭЛОЙ. ДЛЯ ОСТАЛЬНЫХ ОН МЕГА ЗАМЕНИМ ДРУГИМИ 4⭐️</t>
      </text>
    </comment>
    <comment authorId="0" ref="B42">
      <text>
        <t xml:space="preserve">ФИЗ? КОМУ? ЦИ ЦИ?</t>
      </text>
    </comment>
    <comment authorId="0" ref="C42">
      <text>
        <t xml:space="preserve">АХАХАХА!
БЕННЕТ И ЦИ ЦИ
⛔️⛔️ЧЕСТНО КРИНЖ В ОБОИХ СЛУЧАЯХ... КАК СМЕШНО ОНИ ПАВЕРКРИПАЮТ ПЕРСОНАЖЕЙ НЕ КЛИПАЯ СВОИМИ УЗКИМИ ГЛАЗА. 
А КАК СРАНЫЙ СОКОЛ ПЕРЕБИТЬ ДЛЯ БЕННЕТА. НЕВКОЕМ СЛУЧАЕ!!!!⛔️⛔️</t>
      </text>
    </comment>
    <comment authorId="0" ref="H42">
      <text>
        <t xml:space="preserve">НУ И ДАЁТ ЭТА ПУШКА КОПЕЙКИ...</t>
      </text>
    </comment>
    <comment authorId="0" ref="I42">
      <text>
        <t xml:space="preserve">ДАЖЕ САМОМУ БАЙ ДЖУ ЭТОТ БУБЛИК НАХРЕН НЕ НАДО. ВЕДЬ САМА СУТЬ ОРУЖКИ НАЧИНАЕТ РАССКРЫВАТЬСЯ ТОЛЬКО НА С6</t>
      </text>
    </comment>
    <comment authorId="0" ref="B43">
      <text>
        <t xml:space="preserve">ОПЯТЬ ФИЗА? НУ НЕТ ТУТ ФИЗ ПЕРСОВ! ОНИ ТАМ ВСЕ У ДВУРУКОВ. ЗАЧЕМ ТУТ СТОЛЬКО ФИЗ ПУШЕК? ТА ЖЕ СИТУАЦИЯ КАК С КОПЬЯМИ...</t>
      </text>
    </comment>
    <comment authorId="0" ref="C43">
      <text>
        <t xml:space="preserve">ЦИ ЦИ ЭТО СМЕШНО...</t>
      </text>
    </comment>
    <comment authorId="0" ref="I43">
      <text>
        <t xml:space="preserve">ОЧЕРЕДНАЯ ПУШКА НА РИЗЛИ?
НУ ИЛИ НА ЛЮБОГО ДД ОТ СА
ОНИ ПОЧЕМУ-ТО ЧАСТО ТАК ИГРАЮТ. ЧЕРЕДУЯ УДАРЫ</t>
      </text>
    </comment>
    <comment authorId="0" ref="C44">
      <text>
        <t xml:space="preserve">ПЕРСОНАЖИ:
АЛЬБЕДО
С ТИОРИ ТАК СЕБЕ РАБОТАЕТ. ВЕДЬ ОНА БЬЁТ БЫСТРЕЕ АЛЬБЕДО</t>
      </text>
    </comment>
    <comment authorId="0" ref="I44">
      <text>
        <t xml:space="preserve">ПОДХОДИТ ЛЮБОМУ ДД, НО ЛЕГКО ПЕРЕБИТЬ. ХОТЬ ДАЁТ НЕ МАЛО ЦИФЕР!</t>
      </text>
    </comment>
    <comment authorId="0" ref="C45">
      <text>
        <t xml:space="preserve">ХРЕН ПОЛУЧИШЬ И ПО ЦИФРАМ КАЛЛ. КОРОЧЕ 0. НЕ СТОИТ ВАШЕГО ВНИМАНИЯ...</t>
      </text>
    </comment>
    <comment authorId="0" ref="I45">
      <text>
        <t xml:space="preserve">ПОСТАВИТЬ ЕСТЬ КОМУ, НО ТОЛКУ МАЛО ОТ ЭТОГО...
ПЕРСОНАЖИ:
НЁВИЛЛЕТ
МУАЛАНИ
БАРБАРА
КОКОМИ</t>
      </text>
    </comment>
  </commentList>
</comments>
</file>

<file path=xl/sharedStrings.xml><?xml version="1.0" encoding="utf-8"?>
<sst xmlns="http://schemas.openxmlformats.org/spreadsheetml/2006/main" count="9649" uniqueCount="2324">
  <si>
    <t>✋ПРИВЕТСТВИЕ!✋</t>
  </si>
  <si>
    <t>⭐️ПОСЛЕДНИЙ ГАЙД НА КАНАЛЕ⭐️</t>
  </si>
  <si>
    <t>❤️ЧТО НАС ЖДЁТ В БУДУЩЕМ?❤️</t>
  </si>
  <si>
    <t>ГАЙД НА АЛЬБЕДО</t>
  </si>
  <si>
    <r>
      <rPr>
        <rFont val="Oswald"/>
        <b/>
        <color theme="1"/>
        <sz val="12.0"/>
      </rPr>
      <t xml:space="preserve">ДОРОГИЕ МОИ </t>
    </r>
    <r>
      <rPr>
        <rFont val="Oswald"/>
        <b/>
        <color rgb="FFFF9900"/>
        <sz val="12.0"/>
      </rPr>
      <t>ГЕО</t>
    </r>
    <r>
      <rPr>
        <rFont val="Oswald"/>
        <b/>
        <color theme="1"/>
        <sz val="12.0"/>
      </rPr>
      <t xml:space="preserve"> ДРУЗЬЯ! 🗻</t>
    </r>
  </si>
  <si>
    <t>КОРРЕКЦИЯ ВСЕХ ЦИФЕР!</t>
  </si>
  <si>
    <t>ПРЕДСТАВЛЯЮ ВАМ ТАБЛИЦУ ЭФФЕКТИВНОСТИ!</t>
  </si>
  <si>
    <r>
      <rPr>
        <rFont val="Oswald"/>
        <b/>
        <color theme="1"/>
        <sz val="13.0"/>
      </rPr>
      <t xml:space="preserve">ДОБАВЛЕНИЯ НОВЫХ </t>
    </r>
    <r>
      <rPr>
        <rFont val="Oswald"/>
        <b/>
        <color rgb="FFCC0000"/>
        <sz val="13.0"/>
      </rPr>
      <t>ПЕРСОНАЖЕЙ</t>
    </r>
    <r>
      <rPr>
        <rFont val="Oswald"/>
        <b/>
        <color theme="1"/>
        <sz val="13.0"/>
      </rPr>
      <t>\</t>
    </r>
    <r>
      <rPr>
        <rFont val="Oswald"/>
        <b/>
        <color rgb="FFFF9900"/>
        <sz val="13.0"/>
      </rPr>
      <t>ОРУЖИЙ</t>
    </r>
    <r>
      <rPr>
        <rFont val="Oswald"/>
        <b/>
        <color theme="1"/>
        <sz val="13.0"/>
      </rPr>
      <t>\</t>
    </r>
    <r>
      <rPr>
        <rFont val="Oswald"/>
        <b/>
        <color rgb="FF38761D"/>
        <sz val="13.0"/>
      </rPr>
      <t>АРТОВ</t>
    </r>
  </si>
  <si>
    <t>ГДЕ СОБРАНЫ АБСОЛЮТНО ВСЕ ЦИФРЫ ИЗ ГЕНШИНА</t>
  </si>
  <si>
    <r>
      <rPr>
        <rFont val="Oswald"/>
        <b/>
        <color theme="1"/>
        <sz val="13.0"/>
      </rPr>
      <t xml:space="preserve">НОВЫЙ </t>
    </r>
    <r>
      <rPr>
        <rFont val="Oswald"/>
        <b/>
        <color rgb="FF0000FF"/>
        <sz val="13.0"/>
      </rPr>
      <t>"КАЛЬКУЛЯТОР"</t>
    </r>
  </si>
  <si>
    <t>ВАМ ОСТАЛОСЬ ТОЛЬКО ИХ НАЙТИ! 😅</t>
  </si>
  <si>
    <r>
      <rPr>
        <rFont val="Oswald"/>
        <b/>
        <color theme="1"/>
        <sz val="13.0"/>
      </rPr>
      <t xml:space="preserve">ДИНАМИЧНЫЙ </t>
    </r>
    <r>
      <rPr>
        <rFont val="Oswald"/>
        <b/>
        <color rgb="FF0000FF"/>
        <sz val="13.0"/>
      </rPr>
      <t>"КОСТ"</t>
    </r>
  </si>
  <si>
    <t>АВТОР ТАБЛИЦЫ:</t>
  </si>
  <si>
    <t>ARATAKI OZI</t>
  </si>
  <si>
    <t>-</t>
  </si>
  <si>
    <t>НАПИСАТЬ МНЕ:</t>
  </si>
  <si>
    <t>ЛИЧКА</t>
  </si>
  <si>
    <r>
      <rPr>
        <rFont val="Oswald"/>
        <b/>
        <color theme="1"/>
        <sz val="14.0"/>
      </rPr>
      <t xml:space="preserve">ТЕКУЩАЯ </t>
    </r>
    <r>
      <rPr>
        <rFont val="Oswald"/>
        <b/>
        <color rgb="FFFF0000"/>
        <sz val="14.0"/>
      </rPr>
      <t>ВЕРСИЯ</t>
    </r>
    <r>
      <rPr>
        <rFont val="Oswald"/>
        <b/>
        <color theme="1"/>
        <sz val="14.0"/>
      </rPr>
      <t xml:space="preserve"> ТАБЛИЦЫ: </t>
    </r>
    <r>
      <rPr>
        <rFont val="Oswald"/>
        <b/>
        <color rgb="FF9900FF"/>
        <sz val="14.0"/>
      </rPr>
      <t>1.5</t>
    </r>
  </si>
  <si>
    <t>💡ЧАСТЫЕ ВОПРОСЫ💡</t>
  </si>
  <si>
    <t>⚙️ОБНОВЛЕНИЯ ТАБЛИЦЫ⚙️</t>
  </si>
  <si>
    <r>
      <rPr>
        <rFont val="Oswald"/>
        <b/>
        <color rgb="FF9900FF"/>
        <sz val="11.0"/>
      </rPr>
      <t>1</t>
    </r>
    <r>
      <rPr>
        <rFont val="Oswald"/>
        <b/>
        <color theme="1"/>
        <sz val="11.0"/>
      </rPr>
      <t>. КОМУ НУЖНА ЭТА ТАБЛИЦА?</t>
    </r>
  </si>
  <si>
    <t>В ЭТОЙ ТАБЛИЦЕ СОБРАНЫ НЕ ТОЛЬКО ЦИФРЫ,</t>
  </si>
  <si>
    <t>VER.</t>
  </si>
  <si>
    <t>ОПИСАНИЕ</t>
  </si>
  <si>
    <t>НО И ДЕТАЛЬНОЕ ОБЬЯСНЕНИЕ ВСЕГО. 🔧</t>
  </si>
  <si>
    <t>1.0</t>
  </si>
  <si>
    <r>
      <rPr>
        <rFont val="Oswald"/>
        <b/>
        <color theme="1"/>
        <sz val="14.0"/>
      </rPr>
      <t xml:space="preserve">РЕЛИЗ </t>
    </r>
    <r>
      <rPr>
        <rFont val="Oswald"/>
        <b/>
        <color rgb="FF0000FF"/>
        <sz val="14.0"/>
      </rPr>
      <t>*ЭФФЕКТИВНОСТЬ*</t>
    </r>
    <r>
      <rPr>
        <rFont val="Oswald"/>
        <b/>
        <color theme="1"/>
        <sz val="14.0"/>
      </rPr>
      <t xml:space="preserve">,  </t>
    </r>
    <r>
      <rPr>
        <rFont val="Oswald"/>
        <b/>
        <color rgb="FF0000FF"/>
        <sz val="14.0"/>
      </rPr>
      <t xml:space="preserve">*АРТЕФАКТЫ* </t>
    </r>
    <r>
      <rPr>
        <rFont val="Oswald"/>
        <b/>
        <color theme="1"/>
        <sz val="14.0"/>
      </rPr>
      <t>- 21.06.2025</t>
    </r>
  </si>
  <si>
    <t>ТУТ ВЫ НАЙДЁТЕ ОТВЕТ НА ЛЮБОЙ ВОПРОС.  ⁉️</t>
  </si>
  <si>
    <t>✅</t>
  </si>
  <si>
    <r>
      <rPr>
        <rFont val="Oswald"/>
        <b/>
        <color theme="1"/>
        <sz val="14.0"/>
      </rPr>
      <t xml:space="preserve">ДОБАВЛЕНИЕ </t>
    </r>
    <r>
      <rPr>
        <rFont val="Oswald"/>
        <b/>
        <color rgb="FF0000FF"/>
        <sz val="14.0"/>
      </rPr>
      <t>*ЛИМИТЫ*</t>
    </r>
    <r>
      <rPr>
        <rFont val="Oswald"/>
        <b/>
        <color theme="1"/>
        <sz val="14.0"/>
      </rPr>
      <t xml:space="preserve">, </t>
    </r>
    <r>
      <rPr>
        <rFont val="Oswald"/>
        <b/>
        <color rgb="FF0000FF"/>
        <sz val="14.0"/>
      </rPr>
      <t>*СОЗВЕЗДИЯ*</t>
    </r>
  </si>
  <si>
    <t>ТАК ЧТО ЭТА ТАБЛИЦА ПРИГОДИТСЯ ВСЕМ!</t>
  </si>
  <si>
    <r>
      <rPr>
        <rFont val="Oswald"/>
        <b/>
        <color rgb="FF9900FF"/>
        <sz val="11.0"/>
      </rPr>
      <t>2</t>
    </r>
    <r>
      <rPr>
        <rFont val="Oswald"/>
        <b/>
        <color theme="1"/>
        <sz val="11.0"/>
      </rPr>
      <t>. МОЖНО ЛИ ПОМОЧЬ С ТАБЛИЦЕЙ?</t>
    </r>
  </si>
  <si>
    <t>📜ОБУЧАЛЬНОЕ ВИДЕО ПО ТАБЛИЦЕ📜</t>
  </si>
  <si>
    <r>
      <rPr>
        <rFont val="Oswald"/>
        <b/>
        <color theme="1"/>
        <sz val="14.0"/>
      </rPr>
      <t xml:space="preserve">РЕЛИЗ </t>
    </r>
    <r>
      <rPr>
        <rFont val="Oswald"/>
        <b/>
        <color rgb="FF0000FF"/>
        <sz val="14.0"/>
      </rPr>
      <t>*ЛИМИТЫ*</t>
    </r>
    <r>
      <rPr>
        <rFont val="Oswald"/>
        <b/>
        <color theme="1"/>
        <sz val="14.0"/>
      </rPr>
      <t xml:space="preserve">, </t>
    </r>
    <r>
      <rPr>
        <rFont val="Oswald"/>
        <b/>
        <color rgb="FF0000FF"/>
        <sz val="14.0"/>
      </rPr>
      <t>*ОРУЖИЕ*</t>
    </r>
    <r>
      <rPr>
        <rFont val="Oswald"/>
        <b/>
        <color theme="1"/>
        <sz val="14.0"/>
      </rPr>
      <t xml:space="preserve"> - 19.07.2025</t>
    </r>
  </si>
  <si>
    <t>КОНЕЧНО! ПИШИТЕ МНЕ В</t>
  </si>
  <si>
    <t>ЛИЧКУ</t>
  </si>
  <si>
    <t>ИНСТРУКЦИЯ КАК ПОЛЬЗОВАТЬСЯ ТАБЛИЦЕЙ</t>
  </si>
  <si>
    <r>
      <rPr>
        <rFont val="Oswald"/>
        <b/>
        <color theme="1"/>
        <sz val="14.0"/>
      </rPr>
      <t xml:space="preserve">ДОБАВЛЕНИЕ </t>
    </r>
    <r>
      <rPr>
        <rFont val="Oswald"/>
        <b/>
        <color rgb="FF0000FF"/>
        <sz val="14.0"/>
      </rPr>
      <t>*DPS\DPM*</t>
    </r>
  </si>
  <si>
    <r>
      <rPr>
        <rFont val="Oswald"/>
        <b/>
        <color rgb="FF9900FF"/>
        <sz val="11.0"/>
      </rPr>
      <t>3</t>
    </r>
    <r>
      <rPr>
        <rFont val="Oswald"/>
        <b/>
        <color theme="1"/>
        <sz val="11.0"/>
      </rPr>
      <t>. ЧТО ДЕЛАТЬ ЕСЛИ НЕ ПОНИМАЮ ЦИФЕРКИ?</t>
    </r>
  </si>
  <si>
    <t>ЕСЛИ ВЫ НЕ МАТЕМАТИК, ТО ЭТО НЕ СТРАШНО!</t>
  </si>
  <si>
    <r>
      <rPr>
        <rFont val="Oswald"/>
        <b/>
        <color theme="1"/>
        <sz val="14.0"/>
      </rPr>
      <t xml:space="preserve">РЕЛИЗ </t>
    </r>
    <r>
      <rPr>
        <rFont val="Oswald"/>
        <b/>
        <color rgb="FF0000FF"/>
        <sz val="14.0"/>
      </rPr>
      <t>*ДПС\ДПМ*</t>
    </r>
    <r>
      <rPr>
        <rFont val="Oswald"/>
        <b/>
        <color theme="1"/>
        <sz val="14.0"/>
      </rPr>
      <t xml:space="preserve"> , </t>
    </r>
    <r>
      <rPr>
        <rFont val="Oswald"/>
        <b/>
        <color rgb="FF0000FF"/>
        <sz val="14.0"/>
      </rPr>
      <t>*СОЗВЕЗДИЯ*</t>
    </r>
    <r>
      <rPr>
        <rFont val="Oswald"/>
        <b/>
        <color theme="1"/>
        <sz val="14.0"/>
      </rPr>
      <t xml:space="preserve"> - 01.08.2025</t>
    </r>
  </si>
  <si>
    <r>
      <rPr>
        <rFont val="Oswald"/>
        <b/>
        <color theme="1"/>
        <sz val="11.0"/>
      </rPr>
      <t xml:space="preserve">ВЕДЬ ВЫ ДАЖЕ И БЕЗ </t>
    </r>
    <r>
      <rPr>
        <rFont val="Oswald"/>
        <b/>
        <color rgb="FFFF0000"/>
        <sz val="11.0"/>
      </rPr>
      <t>ИНСТРУКЦИИ</t>
    </r>
    <r>
      <rPr>
        <rFont val="Oswald"/>
        <b/>
        <color theme="1"/>
        <sz val="11.0"/>
      </rPr>
      <t xml:space="preserve"> СМОЖЕТЕ РАЗОБРАТЬСЯ!</t>
    </r>
  </si>
  <si>
    <t>САМОЕ ГЛАВНОЕ, ЭТО ПОЛЬЗОВАТЬСЯ ПРИМЕЧАНИЯМИ:</t>
  </si>
  <si>
    <r>
      <rPr>
        <rFont val="Oswald"/>
        <b/>
        <color theme="1"/>
        <sz val="11.0"/>
      </rPr>
      <t xml:space="preserve">ЭТИ </t>
    </r>
    <r>
      <rPr>
        <rFont val="Oswald"/>
        <b/>
        <color rgb="FF0000FF"/>
        <sz val="11.0"/>
      </rPr>
      <t xml:space="preserve">ПРИМЕЧАНИЯ </t>
    </r>
    <r>
      <rPr>
        <rFont val="Oswald"/>
        <b/>
        <color theme="1"/>
        <sz val="11.0"/>
      </rPr>
      <t>ЕСТЬ</t>
    </r>
  </si>
  <si>
    <r>
      <rPr>
        <rFont val="Oswald"/>
        <b/>
        <color theme="1"/>
        <sz val="14.0"/>
      </rPr>
      <t xml:space="preserve">ВКЛАДКА </t>
    </r>
    <r>
      <rPr>
        <rFont val="Oswald"/>
        <b/>
        <color rgb="FF0000FF"/>
        <sz val="14.0"/>
      </rPr>
      <t>*КАЛЬКУЛЯТОР*</t>
    </r>
    <r>
      <rPr>
        <rFont val="Oswald"/>
        <b/>
        <color theme="1"/>
        <sz val="14.0"/>
      </rPr>
      <t xml:space="preserve"> РАЗРАБОТКА! - 15.08.2025</t>
    </r>
  </si>
  <si>
    <t>ПОЧТИ ВЕЗДЕ! 🔍</t>
  </si>
  <si>
    <t>ГЛАВНОЕ ВНИМАТЕЛЬНОСТЬ!</t>
  </si>
  <si>
    <r>
      <rPr>
        <rFont val="Oswald"/>
        <b/>
        <color theme="1"/>
        <sz val="14.0"/>
      </rPr>
      <t xml:space="preserve">РЕЛИЗ </t>
    </r>
    <r>
      <rPr>
        <rFont val="Oswald"/>
        <b/>
        <color rgb="FF0000FF"/>
        <sz val="14.0"/>
      </rPr>
      <t>*КАЛЬКУЛЯТОР*</t>
    </r>
    <r>
      <rPr>
        <rFont val="Oswald"/>
        <b/>
        <color theme="1"/>
        <sz val="14.0"/>
      </rPr>
      <t xml:space="preserve"> - 16.09.2025</t>
    </r>
  </si>
  <si>
    <r>
      <rPr>
        <rFont val="Oswald"/>
        <b/>
        <color rgb="FF9900FF"/>
        <sz val="14.0"/>
      </rPr>
      <t>4</t>
    </r>
    <r>
      <rPr>
        <rFont val="Oswald"/>
        <b/>
        <sz val="14.0"/>
      </rPr>
      <t xml:space="preserve">. ГДЕ ПОДДЕРЖАТЬ АВТОРА: </t>
    </r>
    <r>
      <rPr>
        <rFont val="Oswald"/>
        <b/>
        <color rgb="FF1155CC"/>
        <sz val="14.0"/>
        <u/>
      </rPr>
      <t>https://boosty.to/bigozi/donate</t>
    </r>
  </si>
  <si>
    <t>🔑СОДЕРЖИМОЕ🔑</t>
  </si>
  <si>
    <r>
      <rPr>
        <rFont val="Oswald"/>
        <b/>
        <color theme="1"/>
        <sz val="14.0"/>
      </rPr>
      <t xml:space="preserve">РЕЛИЗ </t>
    </r>
    <r>
      <rPr>
        <rFont val="Oswald"/>
        <b/>
        <color rgb="FF0000FF"/>
        <sz val="14.0"/>
      </rPr>
      <t>"КОСТ"</t>
    </r>
    <r>
      <rPr>
        <rFont val="Oswald"/>
        <b/>
        <color theme="1"/>
        <sz val="14.0"/>
      </rPr>
      <t xml:space="preserve"> - 26.10.2025</t>
    </r>
  </si>
  <si>
    <t>ЭФФЕКТИВНОСТЬ</t>
  </si>
  <si>
    <r>
      <rPr>
        <rFont val="Oswald"/>
        <b/>
        <color theme="1"/>
        <sz val="14.0"/>
      </rPr>
      <t xml:space="preserve">ДОБАВЛЕНИЕ </t>
    </r>
    <r>
      <rPr>
        <rFont val="Oswald"/>
        <b/>
        <color rgb="FF0000FF"/>
        <sz val="14.0"/>
      </rPr>
      <t>"СТОЙКОСТЬ"</t>
    </r>
  </si>
  <si>
    <t>СОЗВЕЗДИЯ</t>
  </si>
  <si>
    <t>⛔️ПЛАТНЫЙ КОНТЕНТ!⛔️</t>
  </si>
  <si>
    <t>КАЛЬКУЛЯТОР</t>
  </si>
  <si>
    <r>
      <rPr>
        <rFont val="Oswald"/>
        <b/>
        <color theme="1"/>
        <sz val="14.0"/>
      </rPr>
      <t>ПЕРЕДЕЛ</t>
    </r>
    <r>
      <rPr>
        <rFont val="Oswald"/>
        <b/>
        <color rgb="FF0000FF"/>
        <sz val="14.0"/>
      </rPr>
      <t xml:space="preserve"> "КАЛЬКУЛЯТОРА"</t>
    </r>
    <r>
      <rPr>
        <rFont val="Oswald"/>
        <b/>
        <color theme="1"/>
        <sz val="14.0"/>
      </rPr>
      <t xml:space="preserve"> \ </t>
    </r>
    <r>
      <rPr>
        <rFont val="Oswald"/>
        <b/>
        <color rgb="FF0000FF"/>
        <sz val="14.0"/>
      </rPr>
      <t>"КОСТА"</t>
    </r>
  </si>
  <si>
    <t>DPS \ DPM</t>
  </si>
  <si>
    <t>ЭТО ВИДЕО ЖИВЁТ НА БУСТИ</t>
  </si>
  <si>
    <t>?</t>
  </si>
  <si>
    <t>НОВЫЙ ГАЙД НА ТАБЛИЦУ</t>
  </si>
  <si>
    <t>ЛИМИТЫ</t>
  </si>
  <si>
    <r>
      <rPr>
        <rFont val="Oswald"/>
        <b/>
        <color rgb="FFFFFFFF"/>
        <sz val="16.0"/>
      </rPr>
      <t>ПО ПОДПИСКЕ</t>
    </r>
    <r>
      <rPr>
        <rFont val="Oswald"/>
        <b/>
        <color theme="1"/>
        <sz val="16.0"/>
      </rPr>
      <t xml:space="preserve"> </t>
    </r>
    <r>
      <rPr>
        <rFont val="Oswald"/>
        <b/>
        <color rgb="FFFFFF00"/>
        <sz val="16.0"/>
      </rPr>
      <t>*ГЕО МАТЕМАТИК*</t>
    </r>
    <r>
      <rPr>
        <rFont val="Oswald"/>
        <b/>
        <color theme="1"/>
        <sz val="16.0"/>
      </rPr>
      <t>✏️</t>
    </r>
  </si>
  <si>
    <t>АРТЕФАКТЫ</t>
  </si>
  <si>
    <t>ТАК ЖЕ НА ЮТУБЕ ДЛЯ СПОНСОРОВ</t>
  </si>
  <si>
    <t>ОРУЖИЕ</t>
  </si>
  <si>
    <r>
      <rPr>
        <rFont val="Oswald"/>
        <b/>
        <color rgb="FFFFFFFF"/>
        <sz val="16.0"/>
      </rPr>
      <t xml:space="preserve">ПО ПОДПИСКЕ </t>
    </r>
    <r>
      <rPr>
        <rFont val="Oswald"/>
        <b/>
        <color rgb="FFFFFF00"/>
        <sz val="16.0"/>
      </rPr>
      <t xml:space="preserve">*ГЕО ДРАКОН* </t>
    </r>
    <r>
      <rPr>
        <rFont val="Oswald"/>
        <b/>
        <color theme="1"/>
        <sz val="16.0"/>
      </rPr>
      <t>🐉</t>
    </r>
  </si>
  <si>
    <t>Column 23</t>
  </si>
  <si>
    <t>ПЕРСОНАЖ</t>
  </si>
  <si>
    <t>СТИХИЯ</t>
  </si>
  <si>
    <t>РОТАЦИЯ (СЕК)</t>
  </si>
  <si>
    <t>Р3</t>
  </si>
  <si>
    <t>Р. МАКС</t>
  </si>
  <si>
    <t>Р4</t>
  </si>
  <si>
    <t>УРОН НА ПОЛЕ (ТЫС)</t>
  </si>
  <si>
    <t>Р2</t>
  </si>
  <si>
    <t>УНП. МАКС</t>
  </si>
  <si>
    <t>Р1</t>
  </si>
  <si>
    <t>РЕАКЦИЯ</t>
  </si>
  <si>
    <t>УРОН С КАРМАНА (ТЫС)</t>
  </si>
  <si>
    <t>УСК. МАКС</t>
  </si>
  <si>
    <t>Р.</t>
  </si>
  <si>
    <t>ДЕ\БАФФ</t>
  </si>
  <si>
    <t>ХИЛ(ТЫС)</t>
  </si>
  <si>
    <t>ЩИТ(ТЫС)</t>
  </si>
  <si>
    <t>ЭНЕРГИЯ(ЭЧ.)</t>
  </si>
  <si>
    <t>СТАТУС(СС)</t>
  </si>
  <si>
    <t>ГИБКОСТЬ</t>
  </si>
  <si>
    <t>СТОЙКОСТЬ</t>
  </si>
  <si>
    <t>БОНУС</t>
  </si>
  <si>
    <t>5⭐️</t>
  </si>
  <si>
    <t>Венти</t>
  </si>
  <si>
    <t>Анемо</t>
  </si>
  <si>
    <t>Стрелок</t>
  </si>
  <si>
    <t>⏰</t>
  </si>
  <si>
    <t>⌛</t>
  </si>
  <si>
    <t>💨+⚡️💧</t>
  </si>
  <si>
    <t>💨</t>
  </si>
  <si>
    <t>3(4) +15Е</t>
  </si>
  <si>
    <t>СНШОТ\СТЯЖКА+</t>
  </si>
  <si>
    <t>4⭐️</t>
  </si>
  <si>
    <t>ГГ (Анемо)</t>
  </si>
  <si>
    <t>Однорук</t>
  </si>
  <si>
    <t>💨+🔥</t>
  </si>
  <si>
    <t>-РЕЗ</t>
  </si>
  <si>
    <t>2(3,3)</t>
  </si>
  <si>
    <t>СТЯЖКА\СНШОТ</t>
  </si>
  <si>
    <t>Джинн</t>
  </si>
  <si>
    <t>💨+💧</t>
  </si>
  <si>
    <t>2,6 + 16E</t>
  </si>
  <si>
    <t>АНТ. ЭЛМ\СТЯЖКА</t>
  </si>
  <si>
    <t>Ифа</t>
  </si>
  <si>
    <t>Каталик</t>
  </si>
  <si>
    <t>УС 💨⚡️💧</t>
  </si>
  <si>
    <t>ДУХ\МОБ+\СТЯЖКА</t>
  </si>
  <si>
    <t>Кадзуха</t>
  </si>
  <si>
    <t>АФ</t>
  </si>
  <si>
    <t>3(4)</t>
  </si>
  <si>
    <t>СНШОТ\СТЯЖКА</t>
  </si>
  <si>
    <t>Лань Янь</t>
  </si>
  <si>
    <t>❌</t>
  </si>
  <si>
    <t>МС</t>
  </si>
  <si>
    <t>МОБ\СТЯЖКА</t>
  </si>
  <si>
    <t>Линетт</t>
  </si>
  <si>
    <t>💨⚡️💧</t>
  </si>
  <si>
    <t>СА</t>
  </si>
  <si>
    <t>МОБ+\СТЯЖКА\УСИЯ</t>
  </si>
  <si>
    <t>Мидзуки</t>
  </si>
  <si>
    <t>УС 💨</t>
  </si>
  <si>
    <t>Сахароза</t>
  </si>
  <si>
    <t>МС + АФ</t>
  </si>
  <si>
    <t>8(12)</t>
  </si>
  <si>
    <t>Саю</t>
  </si>
  <si>
    <t>Двурук</t>
  </si>
  <si>
    <t>3(6)+1(12)E</t>
  </si>
  <si>
    <t>МОБ+</t>
  </si>
  <si>
    <t>Странник</t>
  </si>
  <si>
    <t>💨+💧❄️</t>
  </si>
  <si>
    <t>МОБ+\СНШОТ</t>
  </si>
  <si>
    <t>Сянь Юнь</t>
  </si>
  <si>
    <t>УС 🐇 + ШК</t>
  </si>
  <si>
    <t>МОБ+\СТЯЖКА</t>
  </si>
  <si>
    <t>Сяо</t>
  </si>
  <si>
    <t>Древковое</t>
  </si>
  <si>
    <t>МОБ</t>
  </si>
  <si>
    <t>Фарузан</t>
  </si>
  <si>
    <t>-РЕЗ + АФ</t>
  </si>
  <si>
    <t>6 + 14Е</t>
  </si>
  <si>
    <t>СТЯЖКА</t>
  </si>
  <si>
    <t>Хэйдзо</t>
  </si>
  <si>
    <t>4(6) + 10Е</t>
  </si>
  <si>
    <t>Часка</t>
  </si>
  <si>
    <t>🔥💧</t>
  </si>
  <si>
    <t>МОБ+\ДУХ</t>
  </si>
  <si>
    <t>Ягодка</t>
  </si>
  <si>
    <t>МС + ШК\КУ</t>
  </si>
  <si>
    <t>МОБ\ЛУН</t>
  </si>
  <si>
    <t>Альбедо</t>
  </si>
  <si>
    <t>Гео</t>
  </si>
  <si>
    <t>💎</t>
  </si>
  <si>
    <t>КОН+\СНШОТ</t>
  </si>
  <si>
    <t>ГГ (Гео)</t>
  </si>
  <si>
    <t>ШК</t>
  </si>
  <si>
    <t>КОН+</t>
  </si>
  <si>
    <t>Горо</t>
  </si>
  <si>
    <t>ЗЩ</t>
  </si>
  <si>
    <t>СТК+\ПРИТ.💎</t>
  </si>
  <si>
    <t>Итто</t>
  </si>
  <si>
    <t>Качина</t>
  </si>
  <si>
    <t>КОН+\МОБ\ДУХ</t>
  </si>
  <si>
    <t>Навия</t>
  </si>
  <si>
    <t xml:space="preserve"> </t>
  </si>
  <si>
    <t>ПРИТ.💎\УСИЯ</t>
  </si>
  <si>
    <t>Нин Гуан</t>
  </si>
  <si>
    <t>Ноэлль</t>
  </si>
  <si>
    <t>ВЫЖ+\СНШОТ</t>
  </si>
  <si>
    <t>Тиори</t>
  </si>
  <si>
    <t>Чжун Ли</t>
  </si>
  <si>
    <t>Шилонен</t>
  </si>
  <si>
    <t>Юнь Цзинь</t>
  </si>
  <si>
    <t>УС УДАРЫ</t>
  </si>
  <si>
    <t>2(3)</t>
  </si>
  <si>
    <t>Айно</t>
  </si>
  <si>
    <t>Гидро</t>
  </si>
  <si>
    <t>💧⚡️</t>
  </si>
  <si>
    <t>МС + АФ.</t>
  </si>
  <si>
    <t>Аято</t>
  </si>
  <si>
    <t>☘️💧⚡️</t>
  </si>
  <si>
    <t>☘️💧</t>
  </si>
  <si>
    <t>СНШОТ</t>
  </si>
  <si>
    <t>Барбара</t>
  </si>
  <si>
    <t>0 + 6Е</t>
  </si>
  <si>
    <t>ВОСКР\ГИДРО</t>
  </si>
  <si>
    <t>ГГ (Гидро)</t>
  </si>
  <si>
    <t>💧❄️</t>
  </si>
  <si>
    <t>ПНЕВМО\СНШОТ</t>
  </si>
  <si>
    <t>Далия</t>
  </si>
  <si>
    <t>СКР</t>
  </si>
  <si>
    <t>МОБ\ВОСКР</t>
  </si>
  <si>
    <t>Е Лань</t>
  </si>
  <si>
    <t xml:space="preserve">🔥💧  </t>
  </si>
  <si>
    <t>4(8)</t>
  </si>
  <si>
    <t>Кандакия</t>
  </si>
  <si>
    <t xml:space="preserve">🔥💧 </t>
  </si>
  <si>
    <t>ГИДРО ИНФУЗ</t>
  </si>
  <si>
    <t>Кокоми</t>
  </si>
  <si>
    <t>ВОДА\СНШОТ</t>
  </si>
  <si>
    <t>Мона</t>
  </si>
  <si>
    <t xml:space="preserve">💧❄️ </t>
  </si>
  <si>
    <t>МОБ\СНШОТ</t>
  </si>
  <si>
    <t>Муалани</t>
  </si>
  <si>
    <t>Нёвиллет</t>
  </si>
  <si>
    <t>МОБ\ПНЕВМО</t>
  </si>
  <si>
    <t>Нилу</t>
  </si>
  <si>
    <t>МС + УС ☘️💧</t>
  </si>
  <si>
    <t>СНШОТ\БУТОН</t>
  </si>
  <si>
    <t>Сиджвин</t>
  </si>
  <si>
    <t>УС ЕШКИ</t>
  </si>
  <si>
    <t>УСИЯ</t>
  </si>
  <si>
    <t>Син Цю</t>
  </si>
  <si>
    <t>СНШОТ ЩИТА</t>
  </si>
  <si>
    <t>Тарталья</t>
  </si>
  <si>
    <t>А.1ЛВЛ+</t>
  </si>
  <si>
    <t>Фурина</t>
  </si>
  <si>
    <t>20 сек Р.\МОБ</t>
  </si>
  <si>
    <t>Аль Хайтам</t>
  </si>
  <si>
    <t>Дендро</t>
  </si>
  <si>
    <t>☘️⚡️</t>
  </si>
  <si>
    <t>2(4)</t>
  </si>
  <si>
    <t>Бай Чжу</t>
  </si>
  <si>
    <t>☘️💧🔥</t>
  </si>
  <si>
    <t>УС ☘️ РЕАКТ</t>
  </si>
  <si>
    <t>ХИЛ В МИРЕ</t>
  </si>
  <si>
    <t>ГГ (Дендро)</t>
  </si>
  <si>
    <t>АФ + МС</t>
  </si>
  <si>
    <t>Кавех</t>
  </si>
  <si>
    <t>УС ☘️💧</t>
  </si>
  <si>
    <t>АКТ. Б.</t>
  </si>
  <si>
    <t>Кинич</t>
  </si>
  <si>
    <t>🔥☘️</t>
  </si>
  <si>
    <t>Кирара</t>
  </si>
  <si>
    <t>Коллеи</t>
  </si>
  <si>
    <t>3(6)</t>
  </si>
  <si>
    <t>Лаума</t>
  </si>
  <si>
    <t>-РЕЗ. + АФ.</t>
  </si>
  <si>
    <t>МОБ+\ЛУН.БУТОН</t>
  </si>
  <si>
    <t>Нахида</t>
  </si>
  <si>
    <t>20 сек Р.</t>
  </si>
  <si>
    <t>Нефер</t>
  </si>
  <si>
    <t>БАЗ.АФК.РЕАК.</t>
  </si>
  <si>
    <t>ЛУН.БУТОН</t>
  </si>
  <si>
    <t>Тигнари</t>
  </si>
  <si>
    <t>ИГРУШКА</t>
  </si>
  <si>
    <t>Эмилия</t>
  </si>
  <si>
    <t>18 сек Р.\ПНЕВМО</t>
  </si>
  <si>
    <t>Яо Яо</t>
  </si>
  <si>
    <t>6 + (18E)</t>
  </si>
  <si>
    <t>ВЫН+\СНШОТ</t>
  </si>
  <si>
    <t>Аяка</t>
  </si>
  <si>
    <t>Крио</t>
  </si>
  <si>
    <t>Гань Юй</t>
  </si>
  <si>
    <t>🔥❄️</t>
  </si>
  <si>
    <t>Диона</t>
  </si>
  <si>
    <t>-АТК/КРИО</t>
  </si>
  <si>
    <t>Кэйа</t>
  </si>
  <si>
    <t>2,6(4,6)</t>
  </si>
  <si>
    <t>Лайла</t>
  </si>
  <si>
    <t>Мика</t>
  </si>
  <si>
    <t>АФ + СКР</t>
  </si>
  <si>
    <t>4 + 15Е</t>
  </si>
  <si>
    <t>Ризли</t>
  </si>
  <si>
    <t>Розария</t>
  </si>
  <si>
    <t>-РЕЗ + ШК</t>
  </si>
  <si>
    <t>3 + 5Е</t>
  </si>
  <si>
    <t>СНШОТ\МОБ</t>
  </si>
  <si>
    <t>Ситлали</t>
  </si>
  <si>
    <t>5(10)</t>
  </si>
  <si>
    <t>МОБ\ДУХ</t>
  </si>
  <si>
    <t>Скирк</t>
  </si>
  <si>
    <t>МОБ\Е.1ЛВЛ+</t>
  </si>
  <si>
    <t>Фремине</t>
  </si>
  <si>
    <t>💧❄️🔨⚡️+🐇</t>
  </si>
  <si>
    <t>4 + 9Е</t>
  </si>
  <si>
    <t>ПНЕВМО</t>
  </si>
  <si>
    <t>Ци Ци</t>
  </si>
  <si>
    <t>-АТК</t>
  </si>
  <si>
    <t>Чун Юнь</t>
  </si>
  <si>
    <t>-РЕЗ + СКР</t>
  </si>
  <si>
    <t>КД+\ИНФУЗ</t>
  </si>
  <si>
    <t>Шарлотта</t>
  </si>
  <si>
    <t>3(5)</t>
  </si>
  <si>
    <t>ПНЕВМО/ФОТО</t>
  </si>
  <si>
    <t>Шэнь Хэ</t>
  </si>
  <si>
    <t>-РЕЗ + УС❄️ + АФ</t>
  </si>
  <si>
    <t>Элой</t>
  </si>
  <si>
    <t>Эола</t>
  </si>
  <si>
    <t>💧❄️🔨⚡️</t>
  </si>
  <si>
    <t>Эскофье</t>
  </si>
  <si>
    <t>УСИЯ\ГОТОВКА</t>
  </si>
  <si>
    <t>Арлекино</t>
  </si>
  <si>
    <t>Пиро</t>
  </si>
  <si>
    <t>СОП+</t>
  </si>
  <si>
    <t>Беннет</t>
  </si>
  <si>
    <t>СА + АФ</t>
  </si>
  <si>
    <t>ИНФУЗИЯ\ПИРО</t>
  </si>
  <si>
    <t>ГГ (Пиро)</t>
  </si>
  <si>
    <t>ДУХ</t>
  </si>
  <si>
    <t>Дилюк</t>
  </si>
  <si>
    <t>🔥💧+🐇</t>
  </si>
  <si>
    <t>4(0)</t>
  </si>
  <si>
    <t>Дурин</t>
  </si>
  <si>
    <t>4 + 33Е</t>
  </si>
  <si>
    <t>ШАБАШ</t>
  </si>
  <si>
    <t>Дэхья</t>
  </si>
  <si>
    <t>🔥⚡️</t>
  </si>
  <si>
    <t>Ёимия</t>
  </si>
  <si>
    <t>💧🔥</t>
  </si>
  <si>
    <t>Ка Мин</t>
  </si>
  <si>
    <t>🔥❄️+🐇</t>
  </si>
  <si>
    <t>МОБ\ПИРО</t>
  </si>
  <si>
    <t>Кли</t>
  </si>
  <si>
    <t>4(8) + 10Е</t>
  </si>
  <si>
    <t>Лини</t>
  </si>
  <si>
    <t>Мавуика</t>
  </si>
  <si>
    <t xml:space="preserve">🔥❄️ </t>
  </si>
  <si>
    <t>Синь Янь</t>
  </si>
  <si>
    <t>❄️⚡️</t>
  </si>
  <si>
    <t>ПИРО НА СЕБЯ</t>
  </si>
  <si>
    <t>Сян Лин</t>
  </si>
  <si>
    <t>-РЕЗ + АФ + СА</t>
  </si>
  <si>
    <t>Тома</t>
  </si>
  <si>
    <t>3,5 + 15Е</t>
  </si>
  <si>
    <t>Ху Тао</t>
  </si>
  <si>
    <t>Шеврёз</t>
  </si>
  <si>
    <t>-РЕЗ + СА + АФ</t>
  </si>
  <si>
    <t>4 + 12Е</t>
  </si>
  <si>
    <t>Эмбер</t>
  </si>
  <si>
    <t>ИГРУШКА/СНШОТ</t>
  </si>
  <si>
    <t>Янь Фэй</t>
  </si>
  <si>
    <t>Бэй Доу</t>
  </si>
  <si>
    <t>Электро</t>
  </si>
  <si>
    <t>Вареса</t>
  </si>
  <si>
    <t>ГГ (Электро)</t>
  </si>
  <si>
    <t>1 + 9(18)Е + 40%</t>
  </si>
  <si>
    <t>Дори</t>
  </si>
  <si>
    <t>2 + 12Е(15Е) + 30%</t>
  </si>
  <si>
    <t>ЭЛЕК. СТАТУС</t>
  </si>
  <si>
    <t>Иансан</t>
  </si>
  <si>
    <t>Инеффи</t>
  </si>
  <si>
    <t>БАЗ.АФ + МС</t>
  </si>
  <si>
    <t>ЗАРЯЖЕН\20 сек. Р</t>
  </si>
  <si>
    <t>Клоринда</t>
  </si>
  <si>
    <t>МОБ\УСИЯ</t>
  </si>
  <si>
    <t>Куки Синобу</t>
  </si>
  <si>
    <t>БЕСМ.</t>
  </si>
  <si>
    <t>Кэ Цин</t>
  </si>
  <si>
    <t>Лиза</t>
  </si>
  <si>
    <t>-ЗЩ</t>
  </si>
  <si>
    <t>0(5)</t>
  </si>
  <si>
    <t>Оророн</t>
  </si>
  <si>
    <t>3 + 26Е</t>
  </si>
  <si>
    <t>Райдэн</t>
  </si>
  <si>
    <t>8 + 22Е</t>
  </si>
  <si>
    <t>18 сек Р.</t>
  </si>
  <si>
    <t>Рэйзор</t>
  </si>
  <si>
    <t>10 + 10Е + 50%</t>
  </si>
  <si>
    <t>СОП+\ШАБАШ</t>
  </si>
  <si>
    <t>Сайно</t>
  </si>
  <si>
    <t>Сара</t>
  </si>
  <si>
    <t>3 + 1.5Е</t>
  </si>
  <si>
    <t>Сетос</t>
  </si>
  <si>
    <t>4 + 24Е</t>
  </si>
  <si>
    <t>УНИК. ЗАРЯЖЕН.</t>
  </si>
  <si>
    <t>Фишль</t>
  </si>
  <si>
    <t>20 сек Р.\СНШОТ</t>
  </si>
  <si>
    <t>Флинс</t>
  </si>
  <si>
    <t>ЛУН. ЗАРЯЖЕН.</t>
  </si>
  <si>
    <t>Яэ Мико</t>
  </si>
  <si>
    <t>14 сек. Р.</t>
  </si>
  <si>
    <t>1й ПЕРС</t>
  </si>
  <si>
    <t>УРОН 1й</t>
  </si>
  <si>
    <t>2й ПЕРС</t>
  </si>
  <si>
    <t>УРОН 2й</t>
  </si>
  <si>
    <t>3й ПЕРС</t>
  </si>
  <si>
    <t>УРОН 3й</t>
  </si>
  <si>
    <t>4й ПЕРС</t>
  </si>
  <si>
    <t>УРОН 4й</t>
  </si>
  <si>
    <t>РОТАЦИЯ</t>
  </si>
  <si>
    <t>УРОН ЗА РОТАЦИЮ</t>
  </si>
  <si>
    <t>ДПС</t>
  </si>
  <si>
    <t>ДПМ</t>
  </si>
  <si>
    <t>КОНСТ ДД</t>
  </si>
  <si>
    <t>3,276кк</t>
  </si>
  <si>
    <t>39к</t>
  </si>
  <si>
    <t>23к</t>
  </si>
  <si>
    <t>211к</t>
  </si>
  <si>
    <t>3,549кк</t>
  </si>
  <si>
    <t>12,098кк</t>
  </si>
  <si>
    <t>С0</t>
  </si>
  <si>
    <t>2,923кк</t>
  </si>
  <si>
    <t>2к</t>
  </si>
  <si>
    <t>721к</t>
  </si>
  <si>
    <t>429к</t>
  </si>
  <si>
    <t>4,075кк</t>
  </si>
  <si>
    <t>11,963кк</t>
  </si>
  <si>
    <t>2,127кк</t>
  </si>
  <si>
    <t>611к</t>
  </si>
  <si>
    <t>69к</t>
  </si>
  <si>
    <t>556к</t>
  </si>
  <si>
    <t>3,363кк</t>
  </si>
  <si>
    <t>9,563кк</t>
  </si>
  <si>
    <t>С6</t>
  </si>
  <si>
    <t>2,918кк</t>
  </si>
  <si>
    <t>200к</t>
  </si>
  <si>
    <t>30к</t>
  </si>
  <si>
    <t>160к</t>
  </si>
  <si>
    <t>3,309кк</t>
  </si>
  <si>
    <t>9,321кк</t>
  </si>
  <si>
    <t>2,831кк</t>
  </si>
  <si>
    <t>80к</t>
  </si>
  <si>
    <t>430к</t>
  </si>
  <si>
    <t>188к</t>
  </si>
  <si>
    <t>3,529кк</t>
  </si>
  <si>
    <t>8,934кк</t>
  </si>
  <si>
    <t>1,573кк</t>
  </si>
  <si>
    <t>14к</t>
  </si>
  <si>
    <t>960к</t>
  </si>
  <si>
    <t>248к</t>
  </si>
  <si>
    <t>2,795кк</t>
  </si>
  <si>
    <t>8,920кк</t>
  </si>
  <si>
    <t>1,911кк</t>
  </si>
  <si>
    <t>1,039кк</t>
  </si>
  <si>
    <t>168к</t>
  </si>
  <si>
    <t>3,147кк</t>
  </si>
  <si>
    <t>8,823кк</t>
  </si>
  <si>
    <t>2,934кк</t>
  </si>
  <si>
    <t>49к</t>
  </si>
  <si>
    <t>27к</t>
  </si>
  <si>
    <t>163к</t>
  </si>
  <si>
    <t>3,190кк</t>
  </si>
  <si>
    <t>8,665кк</t>
  </si>
  <si>
    <t>1,766кк</t>
  </si>
  <si>
    <t>58к</t>
  </si>
  <si>
    <t>506к</t>
  </si>
  <si>
    <t>221к</t>
  </si>
  <si>
    <t>2,551кк</t>
  </si>
  <si>
    <t>8,530кк</t>
  </si>
  <si>
    <t>1,497кк</t>
  </si>
  <si>
    <t>690к</t>
  </si>
  <si>
    <t>1,108кк</t>
  </si>
  <si>
    <t>3,297кк</t>
  </si>
  <si>
    <t>8,418кк</t>
  </si>
  <si>
    <t>1,631кк</t>
  </si>
  <si>
    <t>121к</t>
  </si>
  <si>
    <t>662к</t>
  </si>
  <si>
    <t>26к</t>
  </si>
  <si>
    <t>2,440кк</t>
  </si>
  <si>
    <t>8,133кк</t>
  </si>
  <si>
    <t>1,307кк</t>
  </si>
  <si>
    <t>45к</t>
  </si>
  <si>
    <t>44к</t>
  </si>
  <si>
    <t>479к</t>
  </si>
  <si>
    <t>1,875кк</t>
  </si>
  <si>
    <t>8,176кк</t>
  </si>
  <si>
    <t>1,854кк</t>
  </si>
  <si>
    <t>79к</t>
  </si>
  <si>
    <t>500к</t>
  </si>
  <si>
    <t>1,030кк</t>
  </si>
  <si>
    <t>3,463кк</t>
  </si>
  <si>
    <t>7,556кк</t>
  </si>
  <si>
    <t>1,710кк</t>
  </si>
  <si>
    <t>59к</t>
  </si>
  <si>
    <t>313к</t>
  </si>
  <si>
    <t>428к</t>
  </si>
  <si>
    <t>2,510кк</t>
  </si>
  <si>
    <t>7,507кк</t>
  </si>
  <si>
    <t>1,804кк</t>
  </si>
  <si>
    <t>83к</t>
  </si>
  <si>
    <t>453к</t>
  </si>
  <si>
    <t>2,367кк</t>
  </si>
  <si>
    <t>7,475кк</t>
  </si>
  <si>
    <t>834к</t>
  </si>
  <si>
    <t>290к</t>
  </si>
  <si>
    <t>902к</t>
  </si>
  <si>
    <t>344к</t>
  </si>
  <si>
    <t>2,370кк</t>
  </si>
  <si>
    <t>7,182кк</t>
  </si>
  <si>
    <t>2,162кк</t>
  </si>
  <si>
    <t>28к</t>
  </si>
  <si>
    <t>155к</t>
  </si>
  <si>
    <t>2,333кк</t>
  </si>
  <si>
    <t>7,142кк</t>
  </si>
  <si>
    <t>1,175кк</t>
  </si>
  <si>
    <t>779к</t>
  </si>
  <si>
    <t>419к</t>
  </si>
  <si>
    <t>7,125кк</t>
  </si>
  <si>
    <t>2,090кк</t>
  </si>
  <si>
    <t>2,322кк</t>
  </si>
  <si>
    <t>6,897кк</t>
  </si>
  <si>
    <t>957к</t>
  </si>
  <si>
    <t>342к</t>
  </si>
  <si>
    <t>1,842кк</t>
  </si>
  <si>
    <t>6,870кк</t>
  </si>
  <si>
    <t>1,878кк</t>
  </si>
  <si>
    <t>2,116кк</t>
  </si>
  <si>
    <t>6,789кк</t>
  </si>
  <si>
    <t>1,118кк</t>
  </si>
  <si>
    <t>162к</t>
  </si>
  <si>
    <t>569к</t>
  </si>
  <si>
    <t>720к</t>
  </si>
  <si>
    <t>2,569кк</t>
  </si>
  <si>
    <t>6,531кк</t>
  </si>
  <si>
    <t>1,284кк</t>
  </si>
  <si>
    <t>218к</t>
  </si>
  <si>
    <t>474к</t>
  </si>
  <si>
    <t>2,005кк</t>
  </si>
  <si>
    <t>6,129кк</t>
  </si>
  <si>
    <t>835к</t>
  </si>
  <si>
    <t>71к</t>
  </si>
  <si>
    <t>452к</t>
  </si>
  <si>
    <t>792к</t>
  </si>
  <si>
    <t>2,150кк</t>
  </si>
  <si>
    <t>5,896кк</t>
  </si>
  <si>
    <t>421к</t>
  </si>
  <si>
    <t>178к</t>
  </si>
  <si>
    <t>904к</t>
  </si>
  <si>
    <t>1,957кк</t>
  </si>
  <si>
    <t>5,893кк</t>
  </si>
  <si>
    <t>1,373кк</t>
  </si>
  <si>
    <t>52к</t>
  </si>
  <si>
    <t>1,775кк</t>
  </si>
  <si>
    <t>5,849кк</t>
  </si>
  <si>
    <t>788к</t>
  </si>
  <si>
    <t>521к</t>
  </si>
  <si>
    <t>320к</t>
  </si>
  <si>
    <t>227к</t>
  </si>
  <si>
    <t>1,856кк</t>
  </si>
  <si>
    <t>5,653кк</t>
  </si>
  <si>
    <t>1,599кк</t>
  </si>
  <si>
    <t>1,872кк</t>
  </si>
  <si>
    <t>5,535кк</t>
  </si>
  <si>
    <t>539к</t>
  </si>
  <si>
    <t>88к</t>
  </si>
  <si>
    <t>543к</t>
  </si>
  <si>
    <t>891к</t>
  </si>
  <si>
    <t>2,061кк</t>
  </si>
  <si>
    <t>5,131кк</t>
  </si>
  <si>
    <t>770к</t>
  </si>
  <si>
    <t>50к</t>
  </si>
  <si>
    <t>520к</t>
  </si>
  <si>
    <t>42к</t>
  </si>
  <si>
    <t>1,382кк</t>
  </si>
  <si>
    <t>4,146кк</t>
  </si>
  <si>
    <t>С1</t>
  </si>
  <si>
    <t>С2</t>
  </si>
  <si>
    <t>С3</t>
  </si>
  <si>
    <t>С4</t>
  </si>
  <si>
    <t>С5</t>
  </si>
  <si>
    <t>РЕДКОСТЬ</t>
  </si>
  <si>
    <t>🔥</t>
  </si>
  <si>
    <t>⚡️</t>
  </si>
  <si>
    <t>⚙️КАЛЬКУЛЯТОР КОСТА⚙️</t>
  </si>
  <si>
    <t>💧</t>
  </si>
  <si>
    <t>ХИЛ\ЩИТ</t>
  </si>
  <si>
    <t>ЕНЕРГИЯ</t>
  </si>
  <si>
    <t>СТАТУС</t>
  </si>
  <si>
    <t>КОСТ</t>
  </si>
  <si>
    <t>❄️</t>
  </si>
  <si>
    <t>КОНСТА%</t>
  </si>
  <si>
    <t>☘️</t>
  </si>
  <si>
    <t>СОЗВЕЗДИЕ</t>
  </si>
  <si>
    <t>УРОН</t>
  </si>
  <si>
    <t>ПОДДЕРЖКА</t>
  </si>
  <si>
    <t>ПРИМЕР</t>
  </si>
  <si>
    <t>С1📍+💊</t>
  </si>
  <si>
    <t>ЕСЛИ ИГРАТЬ ПРАВИЛЬНО ТО С0 И С1 НЕ ИМЕЮТ РАЗНИЦУ В УРОНЕ</t>
  </si>
  <si>
    <t>РИЗЛИ❄️</t>
  </si>
  <si>
    <t>УЛЬТУ НУЖНО НАЖИМАТЬ ПОСЛЕ СЕРИИ УДАРОВ ПОД ЕШКОЙ</t>
  </si>
  <si>
    <t>УСЛОВИЙ НЕТ!</t>
  </si>
  <si>
    <t>С4💊</t>
  </si>
  <si>
    <t>НУЖНО ДЕЛАТЬ СЕРИЮ ИЗ 5 УДАРОВ. ИНАЧЕ ПОЛЬЗА БУДЕТ МАЛА</t>
  </si>
  <si>
    <t>С6🔶</t>
  </si>
  <si>
    <t>У СОСУЛЬКИ ЕСТЬ СВОЙ СТАТУС = 1 СС(БЕЗ КД)</t>
  </si>
  <si>
    <t>9к - 36к</t>
  </si>
  <si>
    <t>9к ХИЛЛА В ОДНУ ЦЕЛЬ. ЗА УЛЬТ МОЖНО НА ВСЮ КОМАНДУ ДАТЬ</t>
  </si>
  <si>
    <t>ШАРЛОТТА❄️</t>
  </si>
  <si>
    <t>2,7 - 8%</t>
  </si>
  <si>
    <t>НА БОССЕ +2.7%, ПРОТИВ ТОЛПЫ +8%. +2к ХИЛЛ ИЗ-ЗА СА</t>
  </si>
  <si>
    <t>17к</t>
  </si>
  <si>
    <t>СИЛЬНЕЕ ХИЛЛ СУММАРНО ПАЧКЕ НА 17к, а ОДНУ ЦЕЛЬ 5к</t>
  </si>
  <si>
    <t>С4🔶</t>
  </si>
  <si>
    <t>ДАЁТ 10 ЭНЕРГИИ ЗА УЛЬТ</t>
  </si>
  <si>
    <t>С6📍</t>
  </si>
  <si>
    <t>3к</t>
  </si>
  <si>
    <t>3к ХИЛЛ в ОДНУ ЦЕЛЬ. УДАР ИМЕЕТ = 1 СС(БЕЗ КД)</t>
  </si>
  <si>
    <t>С1📍</t>
  </si>
  <si>
    <t>ПЕРЬЯ НЕ СУММИРУЮТСЯ. ПОЭТОМУ НЕ НАЖИМАЕМ СРАЗУ ДВЕ!</t>
  </si>
  <si>
    <t>ШЭНЬ ХЭ❄️</t>
  </si>
  <si>
    <t>С2🔶</t>
  </si>
  <si>
    <t>ДОП. УДАРЫ УЛЬТЫ + БАФФ = ХОРОШАЯ КОНСТА!</t>
  </si>
  <si>
    <t>И УРОН РАСТЁТ И БАФФ СИЛЬНЕЙ. НЕ ПЛОХО!</t>
  </si>
  <si>
    <t>НА САМОМ ДЕЛЕ БАФФ НЕ ПЛОХОЙ! ЕШКА ХОТЬ НЕМНОГО УРОН ДАЁТ</t>
  </si>
  <si>
    <t>ПОРЕЗКА УЖЕ НЕ СТАНОВИТЬСЯ ЛУЧШЕ...</t>
  </si>
  <si>
    <t>КОРОЧЕ ТУТ ВСЁ СЛОЖНО... ЗНАЧИТ ПИШУ В ЗАМЕТКИ!</t>
  </si>
  <si>
    <t>ТИПА ВТОРАЯ ЕШКА, НО ПО СВОЕМУ!</t>
  </si>
  <si>
    <t>АЯКА❄️</t>
  </si>
  <si>
    <t>ЧАСТЕНЬКО МАЛЫШИ УЛЕТАЮ ВПЕРЁД. НО А ТАК ТОП КОНСТА!</t>
  </si>
  <si>
    <t>ПОРЕЗКА КОНЕЧНО ТОП ПОСЛЕ УЛЬТЫ, НО ДЛИТСЯ НЕ ВЕЧНО...</t>
  </si>
  <si>
    <t>ЕСЛИ ДЕЛАТЬ 2 ЗАРЯЖ. ПОД БАФФОМ ТО БУДЕТ +20% ПРИБАВКИ!</t>
  </si>
  <si>
    <t>ПОРЕЗКА + ЕНЕРГИЯ! ЗВУЧИТ ХОРОШО! ЖАЛЬ НЕ СРАЗУ ПРОКАЕТ...</t>
  </si>
  <si>
    <t>ГАНЬ ЮЙ❄️</t>
  </si>
  <si>
    <t>С2💊</t>
  </si>
  <si>
    <t>ДВЕ ЕШКИ - ВЕЧНАЯ КЛАССИКА!</t>
  </si>
  <si>
    <t>НЕ ПЛОХОЙ БАФФ! НО СНЕП-ШОТ НЕ РАБОТАЕТ НА НЕГО!</t>
  </si>
  <si>
    <t>С6💊</t>
  </si>
  <si>
    <t>СРАЗУ 2 ЗАРЯЖКИ. ЗВУЧИТ ВКУСНО! +2 сек. РОТАЦИИ СТОЯТ ТОГО!</t>
  </si>
  <si>
    <t>15Е</t>
  </si>
  <si>
    <t>ДЛЯ ДИОНЫ ВЗРЫВ СТИХИЙ - ЭТО ВСЁ! ОЧЕНЬ ПОЛЕЗНО!</t>
  </si>
  <si>
    <t>ДИОНА❄️</t>
  </si>
  <si>
    <t>1,1к</t>
  </si>
  <si>
    <t>КООП ЩИТОК И +1к КРЕПКОСТЬ. СИЛЬНО КОНЕЧНО...</t>
  </si>
  <si>
    <t>1к</t>
  </si>
  <si>
    <t>СПАСИБА БОГУ ЗА БЫСТРУЮ ЗАРЯЖЕННУЮ!</t>
  </si>
  <si>
    <t>С6📍+🔶</t>
  </si>
  <si>
    <t>200 МС ЭТО ХОРОШО! НО! МАЛО КОМУ ЭТО МОЖНО РЕАЛИЗОВАТЬ...</t>
  </si>
  <si>
    <t>ФИЗУ В МАССЫ! НО НЕ ТАКУЮ КОНЕЧНО...</t>
  </si>
  <si>
    <t>КЭЙА❄️</t>
  </si>
  <si>
    <t>ТОЛПА РВЁТСЯ, ЛЕДИШКИ КРУТЯТЬСЯ! НУ А ТАК НА БОССАХ ТАКОЕ...</t>
  </si>
  <si>
    <t>6,5к</t>
  </si>
  <si>
    <t>ЩИТ РАБОТАЕТ НА ВСЕХ. НО ПО ФАКТУ НЕ НУЖЕН...</t>
  </si>
  <si>
    <t>ДОП. СОСУЛЬКА ЭТО ХОРОШО! ЭТО УРОН \ СТАТУС = ИМБА!</t>
  </si>
  <si>
    <t>2.5к</t>
  </si>
  <si>
    <t>ПРОЧНОСТЬ ЩИТА ХОРОШО РАСТЁТ! ТАК ЖЕ ЩИТ В КООП</t>
  </si>
  <si>
    <t>ЛАЙЛА❄️</t>
  </si>
  <si>
    <t>8-12 ЭНЕРГИИ В СРЕДНЕМ ЗА 1 ЕШКУ! ЭТО ОЧЕНЬ ПРИЯТНО!</t>
  </si>
  <si>
    <t>3.5к</t>
  </si>
  <si>
    <t>ПРОЧНОСТЬ ЩИТА РАСТЁТ СИЛЬНЕЕ ЧЕМ ОТ С1</t>
  </si>
  <si>
    <t>3.5%</t>
  </si>
  <si>
    <t>БАФФ СЛАБОВАТЫЙ. И АКТИВИРУЕТСЯ ВСЕГО 3 РАЗ</t>
  </si>
  <si>
    <t>ХОТЬ КАК-ТО РАСТЁТ УРОН! И УЛУЧШАЕТ С2 и С4 ОТ ЧАСТОЙ ЕШКИ</t>
  </si>
  <si>
    <t>5к</t>
  </si>
  <si>
    <t>В ТЕОРИИ КОЛИЧЕСТВО ТИКОВ ХИЛЛА СТАНЕТ НА 2 БОЛЬШЕ!</t>
  </si>
  <si>
    <t>МИКА❄️</t>
  </si>
  <si>
    <t>ПРОСТО +1 СТАК П1</t>
  </si>
  <si>
    <t>13,5к</t>
  </si>
  <si>
    <t>ДОП. ХИЛЛ И НИЧЕГО БОЛЬШЕ!</t>
  </si>
  <si>
    <t>15Е КОМУ-ТО. НУ ЧАЩЕ КОНЕЧНО ДД, НО ВСЕМ ПО ЧУТЬ-ЧУТЬ!</t>
  </si>
  <si>
    <t>3% СКОРОСТИ ВООБЩЕ НЕ ЧУСТВУЕШЬ...</t>
  </si>
  <si>
    <t>ФИЗ. КРИТ КОНЕЧНО ТОП! НО 5й СТАК ПРОТИВ БОССА НЕ ПОЛУЧИТЬ!</t>
  </si>
  <si>
    <t>УДАРЫ БЫСТРЕЕ ПОСЛЕ КРИТОВ? ВОПРОС ЗАЧЕМ?</t>
  </si>
  <si>
    <t>РОЗАРИЯ❄️</t>
  </si>
  <si>
    <t>ДЛИТЕЛЬНОСТИ УЛЬТЫ = УРОН \ СТАТУС = ТОП!</t>
  </si>
  <si>
    <t>5Е</t>
  </si>
  <si>
    <t>5Е ЗА ЕШКУ ЗВУЧИТ ВКУСНО. ОСОБЕННО В БЫСТРЫХ РОТАЦИЯХ!</t>
  </si>
  <si>
    <t>ПОРЕЗКА КОНЕЧНО ХОРОШО, НО ПРОВОДНИК СРАЗУ РЕЖЕТ БАФФ!</t>
  </si>
  <si>
    <t>БАФФ ОСОБО НЕ СИЛЬНЫЙ, ТА И ПЕРЕМЕЩЕНИЕ ОСОБО НЕ ЛУЧШЕ...</t>
  </si>
  <si>
    <t>СИТЛАЛИ❄️</t>
  </si>
  <si>
    <t>БАФФ ЛЮТАЯ ИМБА! ЧТО СЕБЯ БАФФАЕТ, ЧТО ДРУГИХ!</t>
  </si>
  <si>
    <t>ДОП. УДАР УЛЬТЫ + ДЛИТЕЛЬНОСТЬ ЕШКИ, ХОТЯ ЗАЧЕМ?</t>
  </si>
  <si>
    <t>С6💊+🔶</t>
  </si>
  <si>
    <t>РАБОТАЕТ СТРАННО... НО! ПО ИДЕЕ ДАЁТ ВЕЧНЫЙ СТАТУС!</t>
  </si>
  <si>
    <t>15% ШК КОНЕЧНО ГУД, НО! БАЛАНСИТЬ ЕГО УЖАСНО СЛОЖНО...</t>
  </si>
  <si>
    <t>ФРЕМИНЕ❄️</t>
  </si>
  <si>
    <t>12Е</t>
  </si>
  <si>
    <t>ПРИ ЛУЧШИХ РАССКЛАДАХ ДАЁТ 12Е, ЧТО ДЛЯ ДД ВЕСЬМА ПОЛЕЗНО!</t>
  </si>
  <si>
    <t>СА ЛИШНЯЯ НЕ БЫВАЕТ, ТЕМ БОЛЕЕ АКТИВАЦИЯ ЛЕГКАЯ!</t>
  </si>
  <si>
    <t>КУ ЛИШНИМ НЕ БЫВАЕТ, ТЕМ БОЛЕЕ АКТИ... СТОП!</t>
  </si>
  <si>
    <t>16Е</t>
  </si>
  <si>
    <t>16Е ЭТО В ИДЕАЛЕ. ТАК-ТО ДАЙ БОГ ПРОСТО УЛЬТ НАЖАТЬ...</t>
  </si>
  <si>
    <t>ЦИ ЦИ❄️</t>
  </si>
  <si>
    <t>АГА! УДАРЫ! КРИТЫ! УСЛЫШАЛ!</t>
  </si>
  <si>
    <t>1,5к</t>
  </si>
  <si>
    <t>20% СА ЗАБРАТЬ У ПРОТИВНИКА ЭТО МНОГО. НО... ЗАЧЕМ?</t>
  </si>
  <si>
    <t>4к</t>
  </si>
  <si>
    <t>ВОСКРЕШАЕТ ВСЕХ ПОСЛЕ УЛЬТЫ... ВОТ БЫ УЛЬТ НАЖАТЬ!</t>
  </si>
  <si>
    <t>БИТЬ? ЕЩЁ И ПОСЛЕДНИЙ УДАР СДЕЛАТЬ? ПОНЯЛ! МУСОР...</t>
  </si>
  <si>
    <t>ЧУН ЮНЬ❄️</t>
  </si>
  <si>
    <t>С2💊+🔶</t>
  </si>
  <si>
    <t>ПОЛЬЗУ НЕ ПОСЧИТАТЬ, НО 15% КД ЭТО ПРЯМ ИМБА! НО В РУКАХ!</t>
  </si>
  <si>
    <t>1Е</t>
  </si>
  <si>
    <t>1Е ЗА КРИО УРОН. НУ ПРЯМ БЛАГОДАТЬ КИТАЙСКАЯ!</t>
  </si>
  <si>
    <t>РАБОТАЕТ СТАБИЛЬНО И УРОН ПОЧТИ ПОЯВИЛСЯ! ПОЧТИ...</t>
  </si>
  <si>
    <t>А ГДЕ?</t>
  </si>
  <si>
    <t>ЭЛОЙ❄️</t>
  </si>
  <si>
    <t>НЕ! РЕАЛЬНО ГДЕ?</t>
  </si>
  <si>
    <t>КИТАЙЦЫ БУДУТ ЧТО-ТО ДЕЛАТЬ?</t>
  </si>
  <si>
    <t>ДАЙТЕ ЗВЁЗДЫ! ЧЕРТИ!</t>
  </si>
  <si>
    <t>ТОЛЬКО ЛЕГЕНДЫ ДОЖДУТЬСЯ!</t>
  </si>
  <si>
    <t>А ЗАЧЕМ ТЫ ЭТО ЧИТАЕШЬ?</t>
  </si>
  <si>
    <t>ПРОСТО АФФИКС. ПРОСТО НОРМАЛЬНО</t>
  </si>
  <si>
    <t>ЭОЛА❄️</t>
  </si>
  <si>
    <t>НУ ПРИМЕРНО! НИЧЕГО НЕ ДАЁТ...</t>
  </si>
  <si>
    <t>БАФФ ПЫЛЬ. РАБОТАЕТ РЕДКО...</t>
  </si>
  <si>
    <t>В СРЕДНЕМ ДАЁТ МНОГО! А МОЖЕТ ЕЩЁ БОЛЬШЕ ДАТЬ!</t>
  </si>
  <si>
    <t>С1🔶+👑</t>
  </si>
  <si>
    <t>20-60%</t>
  </si>
  <si>
    <t>УСИЛЯЕТ ТОЛЬКО КРИО УРОН! ГИДРО НИКАК НЕ БАФФАЕТСЯ!</t>
  </si>
  <si>
    <t>ЭСКОФЬЕ❄️</t>
  </si>
  <si>
    <t>ЕСТЬ УСЛОВИЯ БИТЬ КРИО УРОНОМ, ПРИ ЧЁМ ДРУГИМ ПЕРСАМ</t>
  </si>
  <si>
    <t>14 ЭНЕРГИ + КУЧА ДОП. ХИЛЛА В ОДНУ ЦЕЛЬ</t>
  </si>
  <si>
    <t>8к</t>
  </si>
  <si>
    <t>ЧУТЬ-ЧУТЬ УРОНА \ ЧУТЬ-ЧУТЬ ХИЛЛА</t>
  </si>
  <si>
    <t>ХОРОШИЙ КАРМАННЫЙ УРОН И СТАТУС / ОГРАНИЧЕНИЙ НЕТ!</t>
  </si>
  <si>
    <t>ДОП. КРИО СТАТУС НЕ РЕШАЕТ. ПРИБАВКА ХОРОШАЯ</t>
  </si>
  <si>
    <t>СКИРК❄️</t>
  </si>
  <si>
    <t>УВЕЛИЧИВАЕТ УРОН ИЛИ УЛЬТЫ, ИЛИ УДАРОВ!</t>
  </si>
  <si>
    <t>СА ЛИШНЯЯ НЕ БЫВАЕТ! НЕ ЗАБЫВАЙТЕ ПРО БАЛАНС АРТОВ!</t>
  </si>
  <si>
    <t>ТЕПЕРЬ МЫ МОЖЕМ ПРОЙТИ ВЕСЬ КОНТЕНТ УЛЬТОЙ)))</t>
  </si>
  <si>
    <t>С1📍+🔶</t>
  </si>
  <si>
    <t>УРОН ТОП + СТОЙКОСТЬ ТОП = ИМБА!</t>
  </si>
  <si>
    <t>АРЛЕКИНО🔥</t>
  </si>
  <si>
    <t>РОТАЦИЯ СТАНЕТ ПРОЩЕ, НО НЕ БОЛЕЕ. НУ И УРОН...</t>
  </si>
  <si>
    <t>ПРИБАВКА ТОП! ОСОБЕННО КАК ДЛЯ +3 ТАЛАНТА</t>
  </si>
  <si>
    <t>НУ МОЖНО УЛЬТ НАЖИМАТЬ КОНЕЧНО! НО ВСЁ РАВНО НЕ ФАКТ...</t>
  </si>
  <si>
    <t>ПОСТОЯННЫЙ КРИТ + УЛЬТ ТЕПЕРЬ СИЛЬНЫЙ!</t>
  </si>
  <si>
    <t>С1📍+👑</t>
  </si>
  <si>
    <t>ЭТО БАЗА! ЭТО ЗНАТЬ НАДО!</t>
  </si>
  <si>
    <t>БЕННЕТ🔥</t>
  </si>
  <si>
    <t>30% ВЭ МАЛОВАТО, ТА И АКТИВАЦИЯ ОЧЕНЬ РЕДКАЯ...</t>
  </si>
  <si>
    <t>НУ... ТЕПЕРЬ У НАС ЕСТЬ КРУТАЯ ЕШКА! А ЕЩЁ ЧАСТИЦ ТОЧНО 3 БУДЕТ</t>
  </si>
  <si>
    <t>С5👑</t>
  </si>
  <si>
    <t>ХИЛЛ СТАНЕТ НЕМНОГО ЛУЧШЕ+БАФФ</t>
  </si>
  <si>
    <t>С6 РАБОТАЕТ НА ВСЕХ ПИРО, НЕ ТОЛЬКО БЛИЖНИКОВ!</t>
  </si>
  <si>
    <t>3-8%</t>
  </si>
  <si>
    <t>БАФФ В ЦЕЛОМ НЕ ПЛОХОЙ! ОСОБЕННО ПОД НАТЛАНЦА!</t>
  </si>
  <si>
    <t>ГГ - ПИРО🔥</t>
  </si>
  <si>
    <t>С2📍</t>
  </si>
  <si>
    <t>ДАЁТ +4 сек. ДЛИТЕЛЬНОСТИ ЕШКИ, ЧТО ВАЖНО ДЛЯ НАС!</t>
  </si>
  <si>
    <t>БАФФ РАБОТАЕТ НЕ НА ВСЮ НАШУ РОТАЦИЮ!</t>
  </si>
  <si>
    <t>ПОМОГАЕТ ВЗРЫВАЕТЬ БУТОНЫ ИЛИ ИГРАТЬ ЧЕРЕЗ ПРЫЖКИ</t>
  </si>
  <si>
    <t>БАФФ НЕ ОЧЕНЬ СТАБИЛЬНЫЙ... ТА И ДАЮТ МАЛО!</t>
  </si>
  <si>
    <t>ДИЛЮК🔥</t>
  </si>
  <si>
    <t>ТАКОЙ ЖЕ КАК С1, ТОЛЬКО ЧУТЬ БОЛЬШЕ ДАЁТ!</t>
  </si>
  <si>
    <t>ЗВУЧИТ НЕ ПЛОХО! НО... ТОЛКУ МАЛО!</t>
  </si>
  <si>
    <t>УРОН КОНЕЧНО РАСТЁТ НЕ ПЛОХО, НО ВАЖНЕЙ НЕ ПРЕРЫВАНИЕ!</t>
  </si>
  <si>
    <t>С1🔶+📍</t>
  </si>
  <si>
    <t>БАФФ ЛЮТЫЙ! БЕЗ ЕГО УРОНА КОНЕЧНО МАЛОВАТО...</t>
  </si>
  <si>
    <t>ДЭХЬЯ🔥</t>
  </si>
  <si>
    <t>ЕШКА ТЕПЕРЬ АДЕКВАТНА + ЦВЕТЕНИЕ ТОЖЕ ХОРОШО ВЗРЫВАЕТ</t>
  </si>
  <si>
    <t>ЭНЕРГИИ ВСЁ РАВНО НЕ ХВАТЕТ, А ХИЛА И ТАК КУЧА БЫЛО...</t>
  </si>
  <si>
    <t>ЧУТЬ ЛУЧШЕ ЩИТ БУДЕТ!</t>
  </si>
  <si>
    <t>15 УДАРОВ ТЕПЕРЬ! С4 СТАЛО ЛУЧШЕ И УРОНА КУЧА!</t>
  </si>
  <si>
    <t>С1💊</t>
  </si>
  <si>
    <t>ЕСЛИ УБИТЬ ХОТЬ КОГО-ТО, ТО % БУДЕТ БОЛЬШЕ! А ТАК УЖЕ ТОП!</t>
  </si>
  <si>
    <t>ЁИМИЯ🔥</t>
  </si>
  <si>
    <t>СТАБИЛЬНО И СИЛЬНО! ДАЖЕ С УЛЬТЫ ДАЁТ БАФФ!</t>
  </si>
  <si>
    <t>МАКСИМУ ПРИГОДИТСЯ В ДАБЛ ДД. И ТО... СОМНИТЕЛЬНО!</t>
  </si>
  <si>
    <t>ДОП. УДАРЫ БУДУТ МЕШАТЬ В ПАРЕ, ЗНАЧИТ ЛУЧШЕ ПЕРЕГРУЗ!</t>
  </si>
  <si>
    <t>ПРИЯТНЫЙ ХИЛЛ ЛИШНИМ НЕ БУДЕТ. ПОД ФУРУ И ОХОТНИК ТОП!</t>
  </si>
  <si>
    <t>КА МИН🔥</t>
  </si>
  <si>
    <t>АКТИВАЦИЯ ЛЕГКАЯ, РАБОТАЕТ СТАБИЛЬНО!</t>
  </si>
  <si>
    <t>С3👑</t>
  </si>
  <si>
    <t>12-14Е ЗА РОТАЦИЮ! ДЛЯ КАМИНА ЭТО ПРЯМ МНОГО!</t>
  </si>
  <si>
    <t>С6🔶+📍</t>
  </si>
  <si>
    <t>УРОН ДИКИЙ! НО ВАЖНЕЙ ТО, ЧТО РАУДИС ПРЫЖКА БОЛЬШЕ!</t>
  </si>
  <si>
    <t>В СРЕДНЕМ БУДЕТ 10 АКТИВАЦИЙ+ТАМ СВОЙ СТАТУС!</t>
  </si>
  <si>
    <t>КЛИ🔥</t>
  </si>
  <si>
    <t>ТЕПЕРЬ МОЖНО ИГРАТЬ КАК САП! И УЛЬТ НЕ НАДО...</t>
  </si>
  <si>
    <t>ГЛАВНОЕ ВОВРЕМЯ ПЕРЕКЛЮЧИТЬСЯ, А ТО НЕ БУДЕТ ВЗРЫВ!</t>
  </si>
  <si>
    <t>9Е ВСЕМ КРОМЕ КЛИ! В ЦЕЛОМ НЕ ПЛОХО, НО НЕ ДЛЯ ДД...</t>
  </si>
  <si>
    <t>ДВОЙНАЯ ИГРУШКА НЕ ПЛОХО, А ТАК + СТАК В ЕШКУ!</t>
  </si>
  <si>
    <t>ЛИНИ🔥</t>
  </si>
  <si>
    <t>НА САМОМ ДЕЛЕ ПОЛУЧИТЬ БАФФ НЕ ТАК СЛОЖНО...</t>
  </si>
  <si>
    <t>ПОРЕЗКА БУДЕТ ХУЖЕ, ВЕДЬ ЭТО БЕЗ ПОРЕЗКИ ДРУГИХ ПЕРСОВ!</t>
  </si>
  <si>
    <t>ПРОСТО ХОРОШАЯ С6. НИ ВАУ, НИ ФУ...</t>
  </si>
  <si>
    <t>С1🔶</t>
  </si>
  <si>
    <t>ТЕПЕРЬ МОЖНО ИГРАТЬ СПОКОЙНО БЕЗ НАТЛАН ПЕРСОВ</t>
  </si>
  <si>
    <t>МАВУИКА🔥</t>
  </si>
  <si>
    <t>С2🔶+👑</t>
  </si>
  <si>
    <t>ПОРЕЗКА БРОНИ РАБОТАЕТ ТОЛЬКО С КАРМАНА</t>
  </si>
  <si>
    <t>УСЛОВИЙ НЕТ...</t>
  </si>
  <si>
    <t>С4🔶+👑</t>
  </si>
  <si>
    <t>БАФФ СТАНОВИТСЯ ИДЕАЛЬНЫМ!</t>
  </si>
  <si>
    <t>С6🔶+👑</t>
  </si>
  <si>
    <t>ПОРЕЗКА ТЕПЕРЬ РАБОТАЕТ И НА ПОЛЕ БОЯ! ТОП 1 КОНСТА ИГРЫ!</t>
  </si>
  <si>
    <t>ЕЕЕ! ВЕНТЕЛЬ КРУТИТЬСЯ, ДАМАГ МУТИТЬСЯ!</t>
  </si>
  <si>
    <t>СИНЬ ЯНЬ🔥</t>
  </si>
  <si>
    <t>МОЖНО ПОЛУЧИТЬ 100% ЩИТ! НУ 100% КРИТ... ЭТО ТАКОЕ!</t>
  </si>
  <si>
    <t>1,3к</t>
  </si>
  <si>
    <t>Я ВЕРЮ! ЧТО ОНА БУДЕТ ФИЗ. САПОМ!</t>
  </si>
  <si>
    <t>НУ! УРОН ПРИБАВИЛСЯ, ХОТЬ И ТОЛКУ СТАЛО НЕ БОЛЬШЕ!</t>
  </si>
  <si>
    <t>ПОРЕЗКА ТАК ЕЩЁ И ДЛИТЬСЯ ХОРОШО! ТОП!</t>
  </si>
  <si>
    <t>СЯН ЛИН🔥</t>
  </si>
  <si>
    <t>МОЖЕТ ПОКАЗАТЬСЯ ЛИШНИМ! НО ИНОГДА ПРИГОЖДАЕТСЯ!</t>
  </si>
  <si>
    <t>С4👑</t>
  </si>
  <si>
    <t>ДЛИТЕЛЬНОСТЬ +4 сек. УЛЬТЫ</t>
  </si>
  <si>
    <t>ПИРО ПЕРСЫ ДОВАЛЬНЫ! В МОНО ПИРО ТОП!</t>
  </si>
  <si>
    <t>УПРОЩАЕТ РОТАЦИЮ НА ТОМЕ!</t>
  </si>
  <si>
    <t>ТОМА🔥</t>
  </si>
  <si>
    <t>С2📍+🔶</t>
  </si>
  <si>
    <t>ТЕПЕРЬ У НАС КОМФОРТНЫЙ ВЕЧНЫЙ ЩИТ!</t>
  </si>
  <si>
    <t>ЩИТ СТАНЕТ КРЕПЧЕ ИМЕННО ОТ ЛВЛ ТАЛАНТА, ЧЕМ ХП!</t>
  </si>
  <si>
    <t>С4📍+🔶</t>
  </si>
  <si>
    <t>ДЛЯ ТОМЫ УЛЬТ ЭТО ВСЁ! ПОЭТОМУ 15Е ЭТО ТОП!</t>
  </si>
  <si>
    <t>ПРИЯТНЫЙ БАФФ, НО НЕ БОЛЕЕ...</t>
  </si>
  <si>
    <t>ЧИСТО КОМФОРТ И НЕ БОЛЕЕ!</t>
  </si>
  <si>
    <t>ХУ ТАО🔥</t>
  </si>
  <si>
    <t>НЕ ЗАБЫВАЕМ ПРО ДОП. СТАТУС ПОСЛЕ УЛЬТЫ!</t>
  </si>
  <si>
    <t>УРОН РАСТЁТ У ВСЕГО СРАЗУ!</t>
  </si>
  <si>
    <t>БАФФ КРУТОЙ! ЖАЛЬ ТОЛЬКО САМОЙ СЕБЕ НЕ ДАЁТ ШК!</t>
  </si>
  <si>
    <t>АКТИВАЦИЯ С РАЗРЯДА ФАНТАСТИКИ! ТА И ЕСЛИ СМОЖЕТ ТОЛКУ 0</t>
  </si>
  <si>
    <t>ДАЁТ 6Е КОМУ-ТО ПРИ ПЕРЕГРУЗЕ! В ЦЕЛОМ 12Е НЕ ЛИШНИЕ!</t>
  </si>
  <si>
    <t>ШЕВРЁЗ🔥</t>
  </si>
  <si>
    <t>ДАЮТ СВОЙ СТАТУС! ЧТО АКТИВИРУЕТ ПЕРЕГРУЗ</t>
  </si>
  <si>
    <t>ХИЛЛ НЕМНОГО СТАНЕТ ЛУЧШЕ!</t>
  </si>
  <si>
    <t>ДВЕ ЕШКИ В ЦЕЛОМ НЕ ПЛОХО, НО НЕ МАСТ ХЭВ НАЖИМАТЬ</t>
  </si>
  <si>
    <t>С6🔶+📍+👑</t>
  </si>
  <si>
    <t>БАФФ В РЕАЛЬНОСТИ ДЛИТЬСЯ 20 сек! А НЕ 8 сек...</t>
  </si>
  <si>
    <t>ДВОЙНОЙ ПРИЦЕЛ! СИЛЬНО!</t>
  </si>
  <si>
    <t>ЭМБЕР🔥</t>
  </si>
  <si>
    <t>ВЗОРВАТЬ ИГРУШКУ? НУ А ТЫ ПОПРОБУЙ! УДАЧИ!</t>
  </si>
  <si>
    <t>2 ИГРУШКИ УЖЕ НЕ ПЛОХО! ВОТ БЫ ВЗРЫВ ЕЩЁ ПОПАЛ ПО ВРАГУ!</t>
  </si>
  <si>
    <t>НА САМОМ ДЕЛЕ ДЛИТЕЛЬНОСТЬ НЕМНОГО НЕ ХВАТАЕТ!</t>
  </si>
  <si>
    <t>НЕМНОГО КОМФОРТА И НЕ БОЛЕЕ</t>
  </si>
  <si>
    <t>ЯНЬ ФЭЙ🔥</t>
  </si>
  <si>
    <t>БАФФ КОПЕЙКИ И РАБОТАЕТ РЕДКО...</t>
  </si>
  <si>
    <t>8,5к</t>
  </si>
  <si>
    <t>ЩИТОК ХОРОШИЙ, НО СЛЕТАЕТ СРАЗУ, ТАК КАК ЗАЩИТЫ МАЛО...</t>
  </si>
  <si>
    <t>ПО ФАКТУ КЛЮЧЕВАЯ МЕХАНИКА, НО ТОЛКУ ВСЁ РАВНО МАЛО...</t>
  </si>
  <si>
    <t>20-30%</t>
  </si>
  <si>
    <t>ХОРОШИЙ БАФФ СЕБЕ ВО ТЬМЕ И СИЛЬНЫЙ БАФФ КОМАНДЕ В СВЕТЕ</t>
  </si>
  <si>
    <t>ДУРИН🔥</t>
  </si>
  <si>
    <t>ЛЮТАЯ ИМБА ВСЕЙ ПАЧКЕ! УРОВЕНЬ С2 ШИЛО</t>
  </si>
  <si>
    <t>ДЛЯ ФОРМЫ ТЬМЫ, ИМБА ЛЮТАЯ! НО ВОТ СВЕТЛАЯ ФОРМА ТАКОЕ...</t>
  </si>
  <si>
    <t>142%%</t>
  </si>
  <si>
    <t>25-30%</t>
  </si>
  <si>
    <t>ОЧЕРДНАЯ ИМБА ДЛЯ ТЬМЫ. НУ И КРУТАЯ ДЛЯ СВЕТА!</t>
  </si>
  <si>
    <t>АКТИВАЦИЯ ТАКОЕ СЕБЕ... БАФФ ТОЖЕ КОПЕЙКИ...</t>
  </si>
  <si>
    <t>АЯТО💧</t>
  </si>
  <si>
    <t>ВОТ ЭТО УЖЕ ПОЛУЧШЕ! ОМУТ СТАНОВИТЬСЯ СИГНОЙ!</t>
  </si>
  <si>
    <t>ЛУЧШЕ ЧЕМ С1 и С2! НАЙС КОНСТЫ!</t>
  </si>
  <si>
    <t>НЕОЖИДАННО ТОП КОНСТА. ВТОРАЯ С6</t>
  </si>
  <si>
    <t>ДОП. СТАТУС\УРОН = КАЧЕСТВЕННО, НО СЛАБОВАТО...</t>
  </si>
  <si>
    <t>2Е</t>
  </si>
  <si>
    <t>КОНСТА ДЛЯ ОТКРЫТОГО МИРА! В БОЮ 2Е ДАСТ...</t>
  </si>
  <si>
    <t>БАРБАРА💧</t>
  </si>
  <si>
    <t>БАФФ КРУТОЙ ДЛЯ ГИДРО ДД, НАМ ТАКОЕ...</t>
  </si>
  <si>
    <t>ЕЩЁ БЫ ЭТОТ УЛЬТ НАЖИМАТЬ...</t>
  </si>
  <si>
    <t>4Е</t>
  </si>
  <si>
    <t>4Е ЗА 4 ЗАРЯЖЕН. НЕ НУ ПРОТИВ ТОЛПЫ ТОП. ЕЩЁ БЫ УЛЬТ НАДО БЫЛ!</t>
  </si>
  <si>
    <t>ХИЛ СТАНЕТ НА 20% ЛУЧШЕ. ТУТ ОН ХОТЯ БЫ НАМ НУЖЕН</t>
  </si>
  <si>
    <t>СТРАХОВОЧКА РАЗ В 15 МИНУТ. ЛУЧШЕ ЧЕМ У ЦИ ЦИ ИЛИ ДАЛИЯ...</t>
  </si>
  <si>
    <t>8Е</t>
  </si>
  <si>
    <t>8Е В ИДЕАЛЬНОМ МИРЕ, ДЛЯ БЕСПОЛЕЗНОЙ УЛЬТЫ! НАЙС!</t>
  </si>
  <si>
    <t>ГГ- ГИДРО💧</t>
  </si>
  <si>
    <t>УЛЬТ СТАНОВИТЬСЯ ЧУТЬ ЛУЧШЕ. 0 х 1 = 0</t>
  </si>
  <si>
    <t>ПОШЁЛ ЖОСКИЙ ЩИТ! ДАЛИЯ ЗАВИДУЕТ ТАКОМУ ГИДРО ЩИТУ!</t>
  </si>
  <si>
    <t>НУ И РЕШИЛИ НА С6 НИЧЕГО НЕ ДАТЬ! ОТЛИЧНОЕ РЕШЕНИЕ КИТАЙЦЫ!</t>
  </si>
  <si>
    <t>ДАЁТ В СРЕДНЕМ 15Е, НО МОЖЕТ ДАТЬ ДАЖЕ 20Е, НО ЭТО РЕДКО!</t>
  </si>
  <si>
    <t>ДАЛИЯ💧</t>
  </si>
  <si>
    <t>2,5к</t>
  </si>
  <si>
    <t>ЩИТ ЛУЧШЕ НА 850, ЩИТОВ В СРЕДНЕМ БУДЕТ 2-3</t>
  </si>
  <si>
    <t>2,4к</t>
  </si>
  <si>
    <t>ЩИТ ЛУЧШЕ НА 800, ЩИТОВ В СРЕДНЕМ 2-3</t>
  </si>
  <si>
    <t>С4📍</t>
  </si>
  <si>
    <t>ДОЛЬШЕ УЛЬТА, ДОЛЬШЕ БАФФ, ДОЛЬШЕ ЩИТЫ!</t>
  </si>
  <si>
    <t>УРОН ОСОБО НЕТ...</t>
  </si>
  <si>
    <t>ВОСКРЕШАЛКА РАБОТАЕТ ТОЛЬКО В УЛЬТЕ... БАФФ ПРИЯТНЫЙ!</t>
  </si>
  <si>
    <t>С1💊+📍</t>
  </si>
  <si>
    <t>НАКОНЕЦ-ТО СТАБИЛЬНЫЙ УЛЬТ!</t>
  </si>
  <si>
    <t>Е ЛАНЬ💧</t>
  </si>
  <si>
    <t>С2🔶+💊</t>
  </si>
  <si>
    <t>ТЕПЕРЬ ПО СТАТУСУ НЕ УСТУПАЕТ СИНЕМУ, ЧТО КРУТО!</t>
  </si>
  <si>
    <t>КРОМЕ ФУРИНЫ НЕ КОМУ. БОЛЬШЕ ОТ ХП НИКТО НЕ ИГРАЕТ С НЕЙ</t>
  </si>
  <si>
    <t>МОЖНО ТЕПЕРЬ ИГРАТЬ КАК ДД! ПОЧТИ НЁВИК И МУЛАТКА. ПОЧТИ...</t>
  </si>
  <si>
    <t>3 сек. УЛЬТЫ КОНЕЧНО ПОЛЕЗНО, НО МЕХАНИКА БАЗОВАЯ</t>
  </si>
  <si>
    <t>КАНДАКИЯ💧</t>
  </si>
  <si>
    <t>20% ХП ПОСЛЕ ЕШКИ ЭТО СЛИШКОМ МАЛО...</t>
  </si>
  <si>
    <t>БЫСТРЕЕ КД ЕШКИ, НИЧЕГО НАМ НЕ ДАЁТ...</t>
  </si>
  <si>
    <t>БАФФ НЕ СТАНОВИТСЯ СИЛЬНЕЙ</t>
  </si>
  <si>
    <t>С6 МЕШАЕТ ПРИ ИГРЕ С МУАЛАНИ. А ТАК УРОН ХОРОШО БУСТИТ</t>
  </si>
  <si>
    <t>У РЫБЫ СВОЙ СТАТУС 1 СС! В СРЕДНЕМ БУДЕТ 6 АКТИВАЦИЙ</t>
  </si>
  <si>
    <t>КОКОМИ💧</t>
  </si>
  <si>
    <t>ПОЧТИ НИКОГДА НЕ АКТИВИРУЕТСЯ, ИЗ-ЗА ЧЕГО КОНСТА МУСОР</t>
  </si>
  <si>
    <t>ХИЛЛ НЕ НУЖЕН...</t>
  </si>
  <si>
    <t>ДАЁМ НА ОДНУ СЕРИЮ БОЛЬШЕ УДАРОВ. ЭНЕРГИЯ НЕ НУЖНА...</t>
  </si>
  <si>
    <t>РАБОТАЕТ СТАБИЛЬНО, НО ИГРАЯ С ФУРИНОЙ ПРИБАВКА МЕНЬШЕ</t>
  </si>
  <si>
    <t>ПРОСТО ЛЁГКИЙ БАФФ ВСЕМ ГИДРО РЕАКЦИЯМ, КРОМЕ БУТОНОВ...</t>
  </si>
  <si>
    <t>МОНА💧</t>
  </si>
  <si>
    <t>БИТЬ УДАРАМИ? ГДЕ? ДРАЙВ? ЗАЧЕМ? ПОЧЕМУ? НИКТО НЕ ЗНАЕТ...</t>
  </si>
  <si>
    <t>НУ ЧИСТО КОРОНКУ СЭКОНОМИТЬ</t>
  </si>
  <si>
    <t>15 ШК НА 6 сек. ЗВУЧИТ ГОДНО! НА УРОВНЕ ЭПИКА...</t>
  </si>
  <si>
    <t>ЕСЛИ НЕЧЕМ ЗАНЯТЬСЯ, ТО МОЖНО И В ШИФТЕ 3 сек. ПРОВЕСТИ!</t>
  </si>
  <si>
    <t>КРУТОЙ БАФФ УРОНА И ПЕРЕМЕЩЕНИЯ!</t>
  </si>
  <si>
    <t>МУАЛАНИ💧</t>
  </si>
  <si>
    <t>МОЖНО ИЛИ ДАТЬ УЛЬТ БЕЗ ПОТЕРЬ, ИЛИ 4 УДАР АКУЛЫ!</t>
  </si>
  <si>
    <t>СТАБИЛЬНЫЙ И СИЛЬНЫЙ УЛЬТ!</t>
  </si>
  <si>
    <t>ПРОСТАЯ И КРУТАЯ КОНСТА! ЛАЙК!</t>
  </si>
  <si>
    <t>МАСТ ХЭВ ДЛЯ НЕВИКА! УРОН\СТОЙКОСТЬ = ИМБА!</t>
  </si>
  <si>
    <t>НЁВИЛЛЕТ💧</t>
  </si>
  <si>
    <t>ПРОСТО ПРИЯТНЫЕ КРИТЫ</t>
  </si>
  <si>
    <t>НУ ЧИСТО КОНСТА ПОД С6, ЧТО БЫ ГИДРАНТ НЕ ОСТАНАВЛИВАЛСЯ!</t>
  </si>
  <si>
    <t>РОТАЦИЯ 15 сек. + ВЕЧНЫЙ ГИДРАНТ</t>
  </si>
  <si>
    <t>ДЛИТЕЛЬНОСТЬ ЕШКИ ДАЁТ СТАТУС, А ДД ЧУТЬ БОЛЬШЕ ДАМАЖИТ!</t>
  </si>
  <si>
    <t>НИЛУ💧</t>
  </si>
  <si>
    <t>НУ БАФФ БАЗА! МОЩЬ! ТУПО ВСЮ ПАЧКУ ЛЮТО БАФФАЕТ...</t>
  </si>
  <si>
    <t>ТЕПЕРЬ УЛЬТ ПО КД И ДАМАЖИТ СОЛИДНО!</t>
  </si>
  <si>
    <t>КУЧА КРИТОВ С КАРМАНА МНОГО НЕ ДАСТ! А ТАК ТОП!</t>
  </si>
  <si>
    <t>КАЗАЛОСЬ БЫ! БОЛЬШЕ ХИЛЛА, ЕЩЁ БОЛЬШЕ БАФФА! НУ ТОП! НО...</t>
  </si>
  <si>
    <t>СИДЖВИН💧</t>
  </si>
  <si>
    <t>МОНО ГИДРО ПОД ЭСКО... ЖЕСТЬ! ПОРЕЗКА ВСЕГДА ДАЁТ МНОГО!</t>
  </si>
  <si>
    <t>21к</t>
  </si>
  <si>
    <t>ХИЛЛА ДАЁТ НЕ МНОГО, УРОН ПОЧТИ НЕ РАСТЁТ... ТАКОЕ СЕБЕ!</t>
  </si>
  <si>
    <t>С4💊+🔶</t>
  </si>
  <si>
    <t>ПОШЁЛ УРОН! ПЛЮС 6 ТИКОВ УЛЬТЫ = СТАТУС \ ДАМАГ = ТОП!</t>
  </si>
  <si>
    <t>КУЧА КРИТОВ! ПО КЛАССИКЕ НИЛУ ПОШЛИ! ОДОБРЯЕМ САП ДД!</t>
  </si>
  <si>
    <t>ВАЖНО ЧТО ЭТОТ 4 МЕЧ ДАЁТ ТОЖЕ СТАТУС! НО ВСЁ РАВНО КД</t>
  </si>
  <si>
    <t>СИН ЦЮ💧</t>
  </si>
  <si>
    <t>С2📍+🔶+👑</t>
  </si>
  <si>
    <t>ДЛИТЕЛЬНОСТЬ + ПОРЕЗКА! ИМБА!</t>
  </si>
  <si>
    <t>НАЖАТИЕ ЕШКИ ПРОДЛЕВАЕТ ДЛИТЕЛЬНОСТЬ УЛЬТЫ!</t>
  </si>
  <si>
    <t>СТАТУС\УРОН\ЭНЕРНГИЯ = ИМБА ЛЮТАЯ!</t>
  </si>
  <si>
    <t>РОТАЦИЯ СТАНОВИТЬСЯ ЛУЧШЕ! ПРИЯТНЕЙ ИГРАТЬ</t>
  </si>
  <si>
    <t>ТАРТАЛЬЯ💧</t>
  </si>
  <si>
    <t>ЭНЕРГИЯ ПО ПРАЗДНИКАМ?! ВСЁ ЛУЧШЕЕ ТОРТУ!</t>
  </si>
  <si>
    <t>ДОП. СТАТУС И УРОН. ТЕПЕРЬ МЫ ЕЩЁ КРУЧЕ КАК ДРАЙВЕР?</t>
  </si>
  <si>
    <t>КД СПАДАЕТ И БЛИЖНЕЙ СТОЙКЕ! ТЕПЕРЬ МОЖНО БЫТЬ ДРАЙВЕРОМ!</t>
  </si>
  <si>
    <t>ТЕПЕРЬ МОЖНО ИГРАТЬ АДЕКВАТНО В СОЛО ХИЛ</t>
  </si>
  <si>
    <t>ФУРИНА💧</t>
  </si>
  <si>
    <t>БАФФ КОНЕЧНО СТАЛ УДОБНЕЙ, НО ГЛАВНОЕ ЭТО НАШ УРОН!</t>
  </si>
  <si>
    <t>БАФФ ЧУТЬ ЛУЧШЕ!</t>
  </si>
  <si>
    <t>16Е ЗА РОТАЦИЮ! В ЦЕЛОМ НЕ ПЛОХО!</t>
  </si>
  <si>
    <t>С5🔶+👑</t>
  </si>
  <si>
    <t>НАКОНЕЦ-ТО МОЖНО ИГРАТЬ КАК ДД, НО НА СВОЙ РИСК!</t>
  </si>
  <si>
    <t>КРУТОЙ БАФФ СЕБЕ И АКТИВНОМУ, ЧИСТО ПОСЛЕ ЕШКИ! КРУТО!</t>
  </si>
  <si>
    <t>АЙНО💧</t>
  </si>
  <si>
    <t>ДОП. СТАТУС. И КОПЕЙКИ УРОНА. ПОЧЕМУ НЕТ? +3 СС ГИДРО</t>
  </si>
  <si>
    <t>10Е</t>
  </si>
  <si>
    <t>ДОП. ЕНЕРГИЯ ПОСЛЕ ЕШКИ. НУ ПОЙДЁТ!</t>
  </si>
  <si>
    <t>НЕ ПЛОХОЙ БАФФ ФЛИНСА\ИНЕФФЫ. НУ И БУТОНЫ И НЕФЕРПИТО</t>
  </si>
  <si>
    <t>СИЛЬНО УПРОЩАЕТ НАБОР ЭНЕРГИИ!</t>
  </si>
  <si>
    <t>ИАНСАН⚡️</t>
  </si>
  <si>
    <t>ЭКОНОМИТ ВРЕМЯ НА КАСТ ПРЫЖКА ПОСЛЕ ЕШКИ!</t>
  </si>
  <si>
    <t>УСЛОВИЙ НЕТ</t>
  </si>
  <si>
    <t>8НД</t>
  </si>
  <si>
    <t>ДАЁТ ЗА РОТАЦИЮ 8 НОЧНОГО ДУХА ПОД УЛЬТУ</t>
  </si>
  <si>
    <t>ЛИМИТ РАСТЁТ С 690 ДО 810 ПРИ КОРОНКЕ</t>
  </si>
  <si>
    <t>РАБОТАЕТ СТАБИЛЬНО ТОЛЬКО С НАТЛАНЦАМИ!!!</t>
  </si>
  <si>
    <t>ЗНАЧИТЕЛЬНО УЛУЧШАЕТ ПЕРЕМЕЩЕНИЕ В МИРЕ!</t>
  </si>
  <si>
    <t>ВАРЕСА⚡️</t>
  </si>
  <si>
    <t>ДАЁТ 3-ю АКТИВАЦИЮ БЫСТРОЙ УЛЬТЫ</t>
  </si>
  <si>
    <t>ЧЕМ БОЛЬШЕ РАЗ НАЖИМАЕТЕ УЛЬТ, ТЕМ БОЛЬШЕ ПРИБАВКА</t>
  </si>
  <si>
    <t>ПОЗВОЛЯЕТ ДЕЛАТЬ РАЗНОБРАЗИЕ С УЛЬТАМИ В РОТАЦИЯХ</t>
  </si>
  <si>
    <t>ЛЮТАЯ ИМБА! СТАБИЛЬНЫХ 4 БЫСТРЫХ УЛЬТЫ. МОЖНО ДАЖЕ 5!</t>
  </si>
  <si>
    <t>ЩИТ ОЧЕНЬ СЛАБЫЙ И ПО ФАКТУ ОСОБО НЕ ПОМОГАЕТ!</t>
  </si>
  <si>
    <t>БЭЙ ДОУ⚡️</t>
  </si>
  <si>
    <t>ЕСТЬ НЬЮАНС! ЗА СЧЁТ С2 ЦЕПНАЯ ПРЫГАЕТ МЕЖДУ 2х ВРАГОВ</t>
  </si>
  <si>
    <t>ЩИТ ПАРКИ СТАНОВИТСЯ ЛУЧШЕ</t>
  </si>
  <si>
    <t>ВЕГЕТАЦИЮ ЭТИ УДАРЫ НЕ АКТИВИРУЮТ</t>
  </si>
  <si>
    <t>ЩИТ ПОГЛОЩАЕТ НА 3% БОЛЬШЕ УРОНА</t>
  </si>
  <si>
    <t>ПРИБАВКА ДЛЯ КОМАНДЫ ЗАВИСИТ ОТ ПАЧКИ!!!</t>
  </si>
  <si>
    <t>ХОТЬ АПТАЙМ НЕ ИДЕАЛЬНЫЙ! НО РАБОТАЕТ СТАБИЛЬНО!</t>
  </si>
  <si>
    <t>ОРОРОН⚡️</t>
  </si>
  <si>
    <t>4-8%</t>
  </si>
  <si>
    <t>НА БОССАХ ДАЁТ 2 СТАКА, ПРОТИВ ТОЛПЫ(3 ЮНИТА) 4 СТАКА</t>
  </si>
  <si>
    <t>ЭНЕРГИЯ ХОРОШО. НО СТАТУСА ДОПОЛНИТЕЛЬНО НЕ ДАЁТ...</t>
  </si>
  <si>
    <t>1.5%</t>
  </si>
  <si>
    <t>3% ЗА 1 СТАК АКТИВНОМУ | В СРЕДНЕМ СУММАРНО 5 СТАКОВ ПАЧКЕ</t>
  </si>
  <si>
    <t>В ТЕОРИИ ДАЁТ МНОГО! НО НА ДЕЛЕ ЕСТЬ МНОГО НЬЮАНСОВ!</t>
  </si>
  <si>
    <t>РАЙДЭН⚡️</t>
  </si>
  <si>
    <t>ТОЖЕ САМОЕ ЧТО И С1</t>
  </si>
  <si>
    <t>ТОЖЕ САМОЕ ЧТО И С1\С2</t>
  </si>
  <si>
    <t>12-20%</t>
  </si>
  <si>
    <t>БАФФ НЕДООЦЕНЁН. ДАЁТ МНОГО, ХОТЬ НЕ ВСЕГДА</t>
  </si>
  <si>
    <t>НА 9 ЛВЛ УЖЕ ПИК БАФФА, ПОЭТОМУ ПРИБАВКА МАЛАЯ</t>
  </si>
  <si>
    <t>5 сек. С УЛЬТЫ СРЕЗАТЬ ЗВУЧИТ ХОРОШО, НО НА ДЕЛЕ ТАКОЕ СЕБЕ</t>
  </si>
  <si>
    <t>24Е</t>
  </si>
  <si>
    <t>ПРОБЛЕМУ СО СТАБИЛЬНОСТЬ ВСЁ РАВНО НЕ РЕШАЕТ!</t>
  </si>
  <si>
    <t>ЯЭ МИКО⚡️</t>
  </si>
  <si>
    <t>УВЕЛИЧИВАЕТ РАДУС ПОПАДАНИЯ ЕШКОЙ, ЧТО ОЧЕНЬ УДОБНО!</t>
  </si>
  <si>
    <t>ПОЧТИ ВСЕГДА КОГО-ТО БАФФАЕТ ЕЩЁ, А ЗНАЧИТ 21% СУММАРКИ</t>
  </si>
  <si>
    <t>УЛЬТА ТО КОНЕЧНО ДАМАЖИТ, ВОТ ТОЛЬКО НАЖАТЬ ЕЁ...</t>
  </si>
  <si>
    <t>ПОРЕЗКА БАФФАЕТ ПРИЛИЧНО!</t>
  </si>
  <si>
    <t>ЭТИХ ВЫСТРЕЛОВ ТОЛКОМ И НЕТ... УЛЬТ НАЖАТЬ НАДО!</t>
  </si>
  <si>
    <t>СЕТОС⚡️</t>
  </si>
  <si>
    <t>РАБОТАЕТ ХОРОШО И СТАБИЛЬНО!</t>
  </si>
  <si>
    <t>НА С6 ЛУЧШЕ РАБОТАЕТ!</t>
  </si>
  <si>
    <t>10% ЭТО ЕСЛИ АКТИВИРОВАТЬ, А ТУТ УЖЕ КАК ПОВЕЗЁТ!</t>
  </si>
  <si>
    <t>С6💊+📍</t>
  </si>
  <si>
    <t>ПЛЮС 1 ЗАРЯЖКА - ЭТО ХОРОШАЯ ПРИБАВКА!</t>
  </si>
  <si>
    <t>НА С1 СЕТ ПОДНОШЕНИЕ СТАНОВИТЬСЯ ЗАМЕТНО ХУЖЕ ФРАГМЕНТА!</t>
  </si>
  <si>
    <t>КЛОРИНДА⚡️</t>
  </si>
  <si>
    <t>НА С2 3к СА ТЕПЕРЬ НАДО ВСЕГДА НАБИРАТЬ! +СТОЙКОСТЬ!</t>
  </si>
  <si>
    <t>ТЕПЕРЬ УЛЬТ СТАЛ МАСТ ХЭВ К НАЖАТИЮ! УРОН ПРИЛИЧНЫЙ!</t>
  </si>
  <si>
    <t>ЛЮТАЯ ИМБА! УРОН, СТОЙКОСТЬ, БЕССМЕРТИЕ! ТОП 2 КОНСТА ИГРЫ!</t>
  </si>
  <si>
    <t>ПРОЩЕ ВЫПОЛНЯТЬ СЕРИЮ УДАРОВ И ПЕРСОНАЖ ПРИЯТНЕЙ!</t>
  </si>
  <si>
    <t>САЙНО⚡️</t>
  </si>
  <si>
    <t>РАБОТАЕТ СТАБИЛЬНО! ДАЁТ МНОГО</t>
  </si>
  <si>
    <t>15Е ВСЕМ, КРОМЕ САЙНО! КОГДА ЕМУ НАДО БОЛЬШЕ ВСЕХ... УМНО!</t>
  </si>
  <si>
    <t>ЗВУЧИТ ХОРОШО! НО НА ДЕЛЕ ПРИБАВКА НЕ БОЛЬШАЯ...</t>
  </si>
  <si>
    <t>ОБЛАСТЬ УЛЬТЫ БОЛЬШЕ? ВОТ ЭТО МУСОР!</t>
  </si>
  <si>
    <t>СИНОБУ⚡️</t>
  </si>
  <si>
    <t>ВЕГАТАЦИЯ\СТИМУЛЯЦИЯ\ЭНЕРГИЯ ВСЁ БОЛЬШЕ!</t>
  </si>
  <si>
    <t>СТИМУЛЯЦИЯ\ЭНЕРГИЯ ВСЁ БОЛЬШЕ!</t>
  </si>
  <si>
    <t>АКТИВАЦИЯ НЕ ОЧЕНЬ ЧАСТАЯ! НО В ЛЮБОМ СЛУЧАЕМ БЫВАЕТ</t>
  </si>
  <si>
    <t>ЕШКА БЫСТРЕЕ КД, НУ ТАКОЕ...</t>
  </si>
  <si>
    <t>САРА⚡️</t>
  </si>
  <si>
    <t>ЭКОНОМИТ ВРЕМЯ НА РОТАЦИЮ. ЧТО КРУТО!</t>
  </si>
  <si>
    <t>МОЖЕТ ПОКАЗАТЬСЯ ДЛЯ КООПа! НО УРОН РАСТЁТ ДАЖЕ В СОЛО!</t>
  </si>
  <si>
    <t>БАФФ СТАНОВИТЬСЯ ЧУТЬ ЛУЧШЕ!</t>
  </si>
  <si>
    <t>БАФФ СЕБЕ И РАЙДЭН! ДА, ТОЛЬКО РАЙДЭН...</t>
  </si>
  <si>
    <t>КОМУ-ТО ДАСТ 4Е И 20% ВЭ! В ЦЕЛОМ НЕ ПЛОХО</t>
  </si>
  <si>
    <t>ГГ - ЭЛЕКТРО⚡️</t>
  </si>
  <si>
    <t>СИТУАЦИЯ КАК С БЭЙ ДОУ С6, МОНО ЭЛЕКТРО ПОКА НЕ В ТРЕНДЕ!</t>
  </si>
  <si>
    <t>НУ х2 ЭНЕРГИЯ С ЕШКИ. СОМНИТЕЛЬНАЯ АКТИВАЦИЯ!</t>
  </si>
  <si>
    <t>4Е ЭНЕРГИИ СЕБЕ И НЕМНОГО УРОНА</t>
  </si>
  <si>
    <t>10Е ПРОТИВ ТОЛПЫ... НУ НУ! ТОЛПА И ГЕНШИН. ДЛЯ ИВЕНТ МОЖЕТ?</t>
  </si>
  <si>
    <t>ЛИЗА⚡️</t>
  </si>
  <si>
    <t>ПРОСТО ЕШКА СТАНОВИТСЯ ИГРАБЕЛЬНА! ВОТ И ВСЁ</t>
  </si>
  <si>
    <t>ПРОТИВ ТОЛПЫ КОНЕЧНО ТОП! НО В ОДНУ ЦЕЛЬ НЕТ ИЗМЕНЕНИЙ</t>
  </si>
  <si>
    <t>ЕШКУ НАЖИМАТЬ НАДО, А ПОСЛЕ С6 ТОЧНО!</t>
  </si>
  <si>
    <t>АКТИВАЦИЯ ЛЕГКАЯ, ДАЁТ УРОНА НЕ ПЛОХО!</t>
  </si>
  <si>
    <t>РЭЙЗОР⚡️</t>
  </si>
  <si>
    <t>АКТИВАЦИЯ РЕДКАЯ, НО ПРИБАВКА ВСЁ РАВНО БОЛЬШАЯ!</t>
  </si>
  <si>
    <t>ПО ФАКТУ КЛЮЧЕВАЯ КОНСТА. БЕЗ ЕЁ МНОГО ТЕРЯЕТ!</t>
  </si>
  <si>
    <t>ВЫГЛЯДИТ КРУТО, А НА ДЕЛЕ НИ СТАТУС НЕ НАДО, НИ УРОНА НЕТ...</t>
  </si>
  <si>
    <t>ДА! ФИЗА! ГОУ ГОУ ФИЗУ В МАССЫ...</t>
  </si>
  <si>
    <t>ФИШЛЬ⚡️</t>
  </si>
  <si>
    <t>ПРОЩЕ ПОПАСТЬ ПО БУТОНАМ. А ТАК УРОНА НЕ ОЧЕНЬ</t>
  </si>
  <si>
    <t>УЛЬТА ТЕПЕРЬ БУТОНЫ ЦЕПЛЯЕТ! ЧТО УЖЕ ХОРОШО!</t>
  </si>
  <si>
    <t>2 УДАРА + ДОП. УДАРЫ = ЛЮТАЯ ИМБА ВО ВСЕХ ПЛАНАХ!</t>
  </si>
  <si>
    <t>ПОПАСТЬ НЕ ТАК ЛЕГКО, УРОН КОПЕЙКИ!</t>
  </si>
  <si>
    <t>КЭ ЦИН⚡️</t>
  </si>
  <si>
    <t>2ч.</t>
  </si>
  <si>
    <t>ДАЁТ 2 ЧАСТИЦЫ  ЗА РОТАЦИЮ. ЭТО В СРЕДНЕМ 8Е СЕБЕ!</t>
  </si>
  <si>
    <t>РАБОТАЕТ СТАБИЛЬНО, ДАЁТ МНОГО!</t>
  </si>
  <si>
    <t>ХОТЬ РАБОТАЕТ НЕ СУПЕР СТАБИЛЬНО, НО ДАЁТ НОРМ...</t>
  </si>
  <si>
    <t>ЛОЛ</t>
  </si>
  <si>
    <t>ДОРИ⚡️</t>
  </si>
  <si>
    <t>ВЫГЛЯДИТ 19% ПРИБАВКИ ХОРОШО, НО УРОНА ТАМ НЕТ!</t>
  </si>
  <si>
    <t>ИЛИ ЖОСКИЙ ХИЛЛ, ИЛИ 30% ВЭ АКТИНОМУ ПЕРСУ! НЕ ПЛОХО!</t>
  </si>
  <si>
    <t>9к</t>
  </si>
  <si>
    <t>6,8к</t>
  </si>
  <si>
    <t>ТЕПЕРЬ МОЖНО С ФУРИНОЙ В БУТОНАХ ИГРАТЬ!</t>
  </si>
  <si>
    <t>В ЦЕЛОМ ЛУННЫЙ ЗАРЯД СТАНЕТ ЛУЧШЕ ДЛЯ ВСЕЙ ПАЧКИ НА 17%</t>
  </si>
  <si>
    <t>ИНЕФФА⚡️</t>
  </si>
  <si>
    <t>ЩИТ ДЛЯ КООПА!? НО ЗАТО УРОНА ДАЛИ КУЧА)</t>
  </si>
  <si>
    <t>20Е</t>
  </si>
  <si>
    <t>20Е ЗА РОТАЦИЮ. ПОСЛЕ НАТЛАНА РАССЛАБИЛИСЬ? ГДЕ БАФФ УЛЬТЫ?</t>
  </si>
  <si>
    <t>5 МОЩНЫХ УДАРОВ С КАРМАНА ДОПОМ. МОЩНАЯ ШТУКА!</t>
  </si>
  <si>
    <t>С1💊+🔶</t>
  </si>
  <si>
    <t>ДАЁТ 3й БЫСТРЫЙ УЛЬТ И ЕШКУ + ДЕЛАЕТ КРУЧЕ СИГНУ!</t>
  </si>
  <si>
    <t>ФЛИНС⚡️</t>
  </si>
  <si>
    <t>ДОП. ЛУННЫЙ УДАР + ПОРЕЗКА ЛЮТАЯ! ЧТО ИМБА...</t>
  </si>
  <si>
    <t>ПРОСТО ПРИЯТНЫЙ БОНУС! КОТОРЫЙ РАБОТАЕТ ВСЕГДА</t>
  </si>
  <si>
    <t>НЕ ВЛИЯЕТ НА С2</t>
  </si>
  <si>
    <t>СИЛЬНЫЙ БАФФ СЕБЕ И ВСЕЙ ПАЧКЕ ОТ ЛУННЫХ ЗАРЯЖЕННЫХ!</t>
  </si>
  <si>
    <t>РОТАТИЯ</t>
  </si>
  <si>
    <t>МОЖНО УЖЕ ИГРАТЬ В ДАБЛ СТИХИИ!</t>
  </si>
  <si>
    <t>ЧАСКА💨</t>
  </si>
  <si>
    <t>ПОЛНОСТЬЮ МЕНЯЕТСЯ РОТАЦИЯ! ТЕПЕРЬ ДАБЛ УЖЕ ЛУЧШЕ!</t>
  </si>
  <si>
    <t>УДИВИТЕЛЬНО КАК +3 ДАЮТ БОЛЬШЕ С1 И С2!</t>
  </si>
  <si>
    <t>9Е + ДОП. УРОН ПО ПЛОЩАДИ!</t>
  </si>
  <si>
    <t>НЕ УВЕЛИЧИВАЕТ УРОН С4</t>
  </si>
  <si>
    <t>С6💊+👑</t>
  </si>
  <si>
    <t>ПОШЛА ВОЗЬНЯ! ТОП 1 КОНСТА ИГРЫ!</t>
  </si>
  <si>
    <t>СТЯЖКА СЛАБАЯ. ТОЛКУ МАЛО!</t>
  </si>
  <si>
    <t>ЛИННЕТ💨</t>
  </si>
  <si>
    <t xml:space="preserve">ДОП. СТАТУС ОТ УЛЬТЫ! </t>
  </si>
  <si>
    <t>ДВЕ ЕШКИ ЭТО ХОРОШО, НО ТУТ УРОНА НЕ МНОГО...</t>
  </si>
  <si>
    <t>МОЖНО ТЕПЕРЬ КАК ДРАЙВЕР ИГРАТЬ! НО 20% АНЕМО ТОЖЕ ПРИЯТНО!</t>
  </si>
  <si>
    <t>ЧУТЬ БОЛЬШЕ УРОНА. Я БЫ СКАЗАЛ ЗАМЕНА СИГНЫ</t>
  </si>
  <si>
    <t>СТРАННИК💨</t>
  </si>
  <si>
    <t>УЛЬТ ТЕПЕРЬ НАЧАЛ НАВАЛИВАТЬ!</t>
  </si>
  <si>
    <t>РАНДОМ ЛЮТЫЙ, ПОЭТОМУ ДАВАЙТЕ ПО ПОРЯДКУ:</t>
  </si>
  <si>
    <t>3 В ОБЫЧНЫЕ УДАРЫ БЫЛО БЫ ЛУЧШЕ... КАК У РИЗЛИ!</t>
  </si>
  <si>
    <t>КУЧА АНЕМО УДАРОВ! + ДЛИТЕЛЬНОСТЬ ОПЯТЬ ДОЛЬШЕ... ДЛЯ МИРА!</t>
  </si>
  <si>
    <t>АХААХ! СЮДА ДВЕ ЗАРЯЖКИ!</t>
  </si>
  <si>
    <t>ФАРУЗАН💨</t>
  </si>
  <si>
    <t>ДЛИТЕЛЬНОСТЬ ПРОСТО ЕСТЬ... НА С6 ОПЯТЬ ЖЕ РАСКРЫВАЕТСЯ!</t>
  </si>
  <si>
    <t>14Е</t>
  </si>
  <si>
    <t>14Е НА С6! ДО С6 КОСНТА МУСОР...</t>
  </si>
  <si>
    <t>БАФФ СТАНЕТ СИЛЬНЕЙ НЕМНОГО!</t>
  </si>
  <si>
    <t>ЭТО БАЗА! БЕЗ С6 НЕИГРАБЕЛЬНЫЙ ПЕРСОНАЖ ВООБЩЕ!</t>
  </si>
  <si>
    <t>ПО ФАКТУ УСКОРЯЕТ РОТАЦИЮ! ЧТО ДАЁТ НЕ МАЛО!</t>
  </si>
  <si>
    <t>ХЭЙДЗО💨</t>
  </si>
  <si>
    <t>СТЯЖКА И ТАК БЫЛА ОК! НО ТЕПЕРЬ ОНА СТЯГИВАЕТ ПРЕДМЕТЫ?</t>
  </si>
  <si>
    <t>10,5Е</t>
  </si>
  <si>
    <t>10Е ПОСЛЕ УЛЬТЫ. УЛЬТ НЕ ДОРОГОЙ. НАЖАТЬ ЛЕГКО!</t>
  </si>
  <si>
    <t>КРИТЫ В ЕШКУ ЗВУЧАТ ХОРОШО, А НА ДЕЛЕ ТОЛКУ НЕ МНОГО...</t>
  </si>
  <si>
    <t>НА САМОМ ДЕЛЕ ОНА НЕ БЕН И ДАЖЕ НЕ МИДЗУКИ. МОЖНО И БЕЗ С1</t>
  </si>
  <si>
    <t>САЮ💨</t>
  </si>
  <si>
    <t>КОЛЕСО КАТИЛОСЬ И РАЗБИЛОСЬ...</t>
  </si>
  <si>
    <t>12к</t>
  </si>
  <si>
    <t>7,2Е</t>
  </si>
  <si>
    <t>7Е КОГДА ИГРАЕМ КАК ДРАЙВЕР! ИГРАЯ С КАРМАНА 1Е, НУ ТАКОЕ...</t>
  </si>
  <si>
    <t>В ДРАЙВЕ МЫ ТЕПЕРЬ ХИЛИМ СИЛЬНО! НУ И УРОН НЕМНОГО БОЛЬШЕ</t>
  </si>
  <si>
    <t>С1🔶+💊</t>
  </si>
  <si>
    <t>РЕШАЕТ ПРОБЛЕМА СО СТАБИЛЬНОСТЬЮ!</t>
  </si>
  <si>
    <t>КАДЗУХА💨</t>
  </si>
  <si>
    <t>КЛЮЧЕВОЙ БАФФ! НО ЛУЧШЕ СИГНУ ЗАБРАТЬ...</t>
  </si>
  <si>
    <t>7Е</t>
  </si>
  <si>
    <t>7Е ЗА ДВЕ ЕШКИ? НУ... ПОЙДЁТ! НО ЗАЧЕМ ПОСЛЕ С1?</t>
  </si>
  <si>
    <t>НА САМОМ ДЕЛЕ БАФФ БОЛЬШЕ ДЛЯ ПРЫЖКОВ ЕШКИ, А НЕ ДРАЙВА!</t>
  </si>
  <si>
    <t>ДВЕ ЕШКИ ВСЕГДА ХОРОШО! НО В КД НЕМНОГО НЕ ВПИСЫВАЕМСЯ...</t>
  </si>
  <si>
    <t>СЯО💨</t>
  </si>
  <si>
    <t>БЕСПЛАТНАЯ КОНСТА У АНЕМО ГГ ДАЁТ БОЛЬШЕ ДАЖЕ... СПАСИБО!</t>
  </si>
  <si>
    <t>ЗАЩИТА?! СПАСИБА КИТАЙЦАМ ЗА ТАКИЕ КЛАССНЫЕ КОНСТЫ!</t>
  </si>
  <si>
    <t>ДА, УРОН ПОЧТИ НЕ РАСТЁТ...</t>
  </si>
  <si>
    <t>ТОЛПУ РВЁТ! ХОТЯ ОН И ТАК РВАЛ... НУ... ТОГДА ПРОСТО КРУТО!</t>
  </si>
  <si>
    <t>ЕШКА СТАЛА ЧУТЬ ЛУЧШЕ, НО НЕ БОЛЕЕ...</t>
  </si>
  <si>
    <t>ДЖИНН💨</t>
  </si>
  <si>
    <t>ДЛЯ ПЕРЕМЕЩЕНИЯ ТОП! А В БОЮ ТОЖЕ НЕ ПЛОХО...</t>
  </si>
  <si>
    <t>ЗАМЕНЯЕМ ТЕНЬ ДЛЯ АНИМЕШНИКОВ! ТАК СЕБЕ ПО СТАБИЛЬНОСТИ</t>
  </si>
  <si>
    <t>СТОЙКОСТЬ НЕ ДАЁТ, ТАК ЧИСТО ВЫЖИВАЕМОСТЬ! ЧТО ТАКОЕ СЕБЕ!</t>
  </si>
  <si>
    <t>ДВЕ ЕШКИ КРУТО КОНЕЧНО, НО БЕЗ С4 ИЛИ ЦЕРЕМОНА, ТАКОЕ...</t>
  </si>
  <si>
    <t>САХАРОЗА💨</t>
  </si>
  <si>
    <t>БАЗОВАЯ МЕХАНИКА, НЕ БОЛЕЕ...</t>
  </si>
  <si>
    <t>ИГРАЯ КАК ДРАЙВЕР, ТЫ УЖЕ ПОДГОТАВЛИВАЕШЬ ВТОРУЮ ЕШКУ!</t>
  </si>
  <si>
    <t>БАФФ КРУТОЙ, НО РЕАЛИЗОВАТЬ ТЯЖКО...</t>
  </si>
  <si>
    <t>СТЯЖКА? СЛАБАЯ? Я ГОВОРЮ ДА! ДАЙТЕ ДВЕ!</t>
  </si>
  <si>
    <t>ГГ - АНЕМО💨</t>
  </si>
  <si>
    <t>ВЭ ЛИШНЕЙ НЕ БУДЕТ!</t>
  </si>
  <si>
    <t>ПРОЩЕ ЖИТЬ В ЕШКЕ? ЗВУЧИТ КАК СПАСИБО КИТАЙЦЫ!</t>
  </si>
  <si>
    <t>НЕДО С4 ДЖИН, ИЛИ ЖЕ ОГРЫЗОК ТЕНИ? ДЕБАФФ ДЛИТ. 10 сек.</t>
  </si>
  <si>
    <t>5 ЭЧ</t>
  </si>
  <si>
    <t>ЕШКА ИМЕЕТ КД 12 сек. А ЗНАЧИТ ДВЕ ЕШКИ СТАБИЛЬНО!</t>
  </si>
  <si>
    <t>СЯНЬ ЮНЬ💨</t>
  </si>
  <si>
    <t>БАФФ СТАНОВИТЬСЯ В 2 РАЗА СИЛЬНЕЙ!</t>
  </si>
  <si>
    <t>10к</t>
  </si>
  <si>
    <t>УРОН ПОЧТИ НЕ РАСТЁТ, ЗАТО ХИЛЛ СТАНЕТ ЧУТЬ ЛУЧШЕ</t>
  </si>
  <si>
    <t>2-6к</t>
  </si>
  <si>
    <t>ХИЛЛ С ЕШКИ. В ЦЕЛОМ НАДО ТОЛЬКО ПОД ФУРИНУ</t>
  </si>
  <si>
    <t>НАЧИНАЕТ РАССКРЫВАТЬСЯ ТОЛЬКО НА С6</t>
  </si>
  <si>
    <t>МОЖНО ТАК ЖЕ ПОД УЛЬТОЙ ПОЧТИ БЕСКОНЕЧНО ПРЫГАТЬ В МИРЕ</t>
  </si>
  <si>
    <t>ПО ОПИСАНИЮ НЕ ПОНЯТНО, А НА ДЕЛЕ УРОН ХОРОШО РАСТЁТ</t>
  </si>
  <si>
    <t>ЛАНЬ ЯНЬ💨</t>
  </si>
  <si>
    <t>ДЕЛАЕТ БЕСКОНЕЧННЫЙ ЩИТ. ЕСЛИ ЕГО НЕ СБИТЬ ЗА 1 УДАР!</t>
  </si>
  <si>
    <t>КОНСТА МАКСИМАЛЬНО ПОЛЕЗНА В ТАЙЗЕРЕ</t>
  </si>
  <si>
    <t>С6📍+💊</t>
  </si>
  <si>
    <t>ВТОРАЯ ЕШКА ИМЕННО ДЛЯ ЛАНЬКИ ЭТО МЕГА ИМБА!</t>
  </si>
  <si>
    <t>УСИЛЯЕТ ТОЛЬКО 3 РАССЕИВАНИЯ!</t>
  </si>
  <si>
    <t>МИДЗУКИ💨</t>
  </si>
  <si>
    <t>ЭЛЕМЕНТАЛКА РАСТЁТ ТОЛЬКО У КОМАНДЫ ВО ВРЕМЯ ЕШКИ!</t>
  </si>
  <si>
    <t>ЕШКА ЕЩЁ РАССЕИВАНИЕ УСИЛЯЕТ. НО ЧАЩЕ ВСЕГО ТОЛЬКО НАМ!</t>
  </si>
  <si>
    <t>ДАЁТ БУКВАЛЬНО МЕГА ИГРАБЕЛЬНЫЙ ВЗРЫВ СТИХИЙ</t>
  </si>
  <si>
    <t>4,2к</t>
  </si>
  <si>
    <t>УРОН \ ХИЛЛ НЕМНОГО РАСТЁТ</t>
  </si>
  <si>
    <t>УРОН РАССЕИВ. РАСТЁТ ТОЛЬКО ВО ВРЕМЯ ЕШКИ!</t>
  </si>
  <si>
    <t>ПРОСТО ЛЮТЫЙ КРИНЖ БЕСПЛАТНОГО ПЕРСОНАЖА</t>
  </si>
  <si>
    <t>ВЕНТИ💨</t>
  </si>
  <si>
    <t>6-11%</t>
  </si>
  <si>
    <t>АНЕМО ПОРЕЗКА ЛАДНО, НО ПОДБРОСИТЬ...</t>
  </si>
  <si>
    <t>СТЯЖКА НЕ СТАНОВИТСЯ СИЛЬНЕЙ!!!</t>
  </si>
  <si>
    <t>ЧАСТИЦЫ ЛОВИМ ВСЕГДА, А ЗНАЧИТ РАБОТАЕТ НА ВЕСЬ НАШ УРОН</t>
  </si>
  <si>
    <t>11-21%</t>
  </si>
  <si>
    <t>ДЕБАФФ ДЛИТЬСЯ 10 сек. ПОСЛЕ ПОСЛЕДНЕГО УДАРА</t>
  </si>
  <si>
    <t>12 ЭНЕРГИИ В РОТАЦИЮ, ИНОГДА 18!</t>
  </si>
  <si>
    <t>ИФА💨</t>
  </si>
  <si>
    <t>С2🔶+📍</t>
  </si>
  <si>
    <t>5-15%</t>
  </si>
  <si>
    <t>ЕСЛИ ИГРАЕМ В ФУЛЛ ЗАРЯЖКИ. ТО КАЖДЫЙ ПОЛУЧИТ БАФФ!</t>
  </si>
  <si>
    <t>ХИЛЛ СЛАБЫЙ, ПОЭТОМУ ПРИБАВКИ МИЗЕРНАЯ</t>
  </si>
  <si>
    <t>ОЧЕНЬ СЛАБАЯ ПРИБАВКА ВСЕГО...</t>
  </si>
  <si>
    <t>КАЖДЫЙ ВТОРОЙ ВЫСТРЕЛ В ЕШКЕ ДОП. ПУЛЕЙ СТРЕЛЯЕТ</t>
  </si>
  <si>
    <t>УДАР РИКОШЕТИТ И ПО ОДНОЙ ЦЕЛЕ! В СРЕДНЕМ БУДЕТ 15 УДАРОВ</t>
  </si>
  <si>
    <t>ЯГОДА💨</t>
  </si>
  <si>
    <t>ЧАЩЕ ВСЕГО НУЖНЫ ДЛЯ БОНУСА ХИЛЛА ПОД ФУРИНОЙ!</t>
  </si>
  <si>
    <t>15к</t>
  </si>
  <si>
    <t>ПРОСТО ДОП ХИЛЛ</t>
  </si>
  <si>
    <t>8Е\12Е В СРЕДНЕМ! НА САМОМ ДЕЛЕ МАЛОВАТО...</t>
  </si>
  <si>
    <t>БАФФ РАБОТАЕТ НА ВСЮ ПАЧКУ И ДАЖЕ БЕЗ ФУЛЛ ЗАПОЛНЕНИЯ</t>
  </si>
  <si>
    <t>0.5</t>
  </si>
  <si>
    <t>СТОЙКА ДЛИТЬСЯ ДОЛЬШЕ. А ТАК ЖЕ СТОЙКОСТЬ В САП СТОЙКЕ</t>
  </si>
  <si>
    <t>ШИЛОНЕН💎</t>
  </si>
  <si>
    <t>25-50%</t>
  </si>
  <si>
    <t>25% - ЭТО МИНИМУМ 1 ПЕРСОНАЖ ПОЛУЧАЕТ ПОЛЬЗУ</t>
  </si>
  <si>
    <t>6-18%</t>
  </si>
  <si>
    <t>6% - ОДИН ДД \ 18% - ТРИ ДД (НАПРИМЕР + 2 КАРМАНА)</t>
  </si>
  <si>
    <t>ПО ИДЕЕ ЭТО КАЖДОМУ 12%. НО МЫ БУДЕМ ТОЛЬКО ДД БИТЬ</t>
  </si>
  <si>
    <t>МАСС ХИЛЛ ИМБА! И ПРИБАВКА К НАШЕМУ УРОНУ НЕ ХУЖЕ</t>
  </si>
  <si>
    <t>18 ЭНЕРГИ и 6 сек. КД ЗВУЧИТ ВКУСНО, НО НА ДЕЛЕ БЕСПОЛЕЗНО!</t>
  </si>
  <si>
    <t>НАВИЯ💎</t>
  </si>
  <si>
    <t>ВЫГЛЯДИТ ПОЛЕЗНО, НО НА ДЕЛЕ ЗАБАЛАНСИТЬ СЛОЖНО...</t>
  </si>
  <si>
    <t>БЫЛО БЫ ПОЛЕЗНЕЙ, ЕСЛИ БЫ ВТОРОЙ ГЕО БЫЛ ТОЖЕ ДД</t>
  </si>
  <si>
    <t>ОПЯТЬ ЖЕ НА БУМАГЕ КРУТО, НА ДЕЛЕ ТОЛКУ МАЛО КАК ОТ С6</t>
  </si>
  <si>
    <t>УРОН НЕ РАСТЁТ, ЛИШЬ ГИБКОСТЬ И УДОБСТВО</t>
  </si>
  <si>
    <t>ТИОРИ💎</t>
  </si>
  <si>
    <t>УРОН СИЛЬНО РАСТЁТ, ОСТАЛОСЬ ТОЛЬКО УЛЬТ НАЖИМАТЬ...</t>
  </si>
  <si>
    <t>С3🔶</t>
  </si>
  <si>
    <t>УРОН РАСТЁТ У ВСЕХ КУКЛ И П1 ТОЖЕ</t>
  </si>
  <si>
    <t>КАК С2, ТОЛЬКО РАБОТАЕТ СТАБИЛЬНЕЙ И ДАЁТ БОЛЬШЕ ИЗ-ЗА С3</t>
  </si>
  <si>
    <t>КОНСТА НЕОБЫЧНАЯ, ВЕДЬ ПО ФАКТУ ИНФУЗИЦИЯ ТЕПЕРЬ ВЕЧНА</t>
  </si>
  <si>
    <t>9Е</t>
  </si>
  <si>
    <t>9Е ЗА РОТАЦИЮ ПО ИДЕЕ ДАСТ! ДАЙ БОГ... ПЛЮС СТЯЖКА💎</t>
  </si>
  <si>
    <t>КАЧИНА💎</t>
  </si>
  <si>
    <t>ПОЛУЧАЕМ ДОП. УДАРЫ, КАК С КАРМАНА, ТАК И НА ПОЛЕ!</t>
  </si>
  <si>
    <t>ЛЕГКИЙ БАФФ ЗАЩИТЫ...</t>
  </si>
  <si>
    <t>ГЕО АТЕИСТЫ?! КАК ВАМ? КРИССТАЛЫ ДАМАЖАТ!</t>
  </si>
  <si>
    <t>ВАУ! КД ЕШКИ?! СПАСИБО КИТАЙЦЫ!</t>
  </si>
  <si>
    <t>ЮНЬ ДЗИНЬ💎</t>
  </si>
  <si>
    <t>ЛЕГКИЙ БАФФ НЕ ИНАЧЕ...</t>
  </si>
  <si>
    <t>У НАС УЛЬТ ОТ СА, ИЗ-ЗА ЧЕГО УРОН НЕ РАСТЁТ...</t>
  </si>
  <si>
    <t>НЕМНОГО ЛУЧШЕ БАФФ</t>
  </si>
  <si>
    <t>ПРОСТО ХОРОШИЙ БАФФ! НО УЖЕ СЛАБОВАТ ПО МЕРКАМ МЕТЫ...</t>
  </si>
  <si>
    <t>-2 сек. КД ЕШКИ? ЗВУЧИТ СИЛЬНО! В МЕЧТАХ РАЗРАБ...</t>
  </si>
  <si>
    <t>ГОРО💎</t>
  </si>
  <si>
    <t>УЛЬТ 12 сек.? И ТО ДАЙ БОГ! ВЕДЬ НАДО НЕ МОНО ГЕО!</t>
  </si>
  <si>
    <t>ТОЛКУ ОТ ЛВЛ МАЛО...</t>
  </si>
  <si>
    <t>7к</t>
  </si>
  <si>
    <t>ПРОСТО ПРИЯТНЫЙ ДОП. ХИЛ! ГДЕ ПЕРСОНАЖИ И ТАК ФУЛЛ ЗАЩИТА!</t>
  </si>
  <si>
    <t>16%%</t>
  </si>
  <si>
    <t>БАФФ НА КРИТ. РАБОТАЕТ НА ВСЮ ПАЧКУ!</t>
  </si>
  <si>
    <t>КОНСТА НЕ ДЛЯ ВСЕХ! КОМУ-ТО ПОМОГАЕТ, КОМУ-ТО ТАКОЕ...</t>
  </si>
  <si>
    <t>ИТТО💎</t>
  </si>
  <si>
    <t>18Е</t>
  </si>
  <si>
    <t>ЭНЕРГИЯ НАДО 100%, А ОТ КД КОНЕЧНО ТАКОЕ СЕБЕ... НУ ЛАДНО!</t>
  </si>
  <si>
    <t>БАФФ РАБОТАЕТ ТОЛЬКО НА 2ю РОТАЦИЮ. ЗАЩИТУ МЫ ФИКСИРУЕМ!</t>
  </si>
  <si>
    <t>РАСТЁТ УРОН ВСЕГО!</t>
  </si>
  <si>
    <t>С6🔶+💊</t>
  </si>
  <si>
    <t>РОТАЦИЯ БУДЕТ ДОЛЬШЕ! ВЕДЬ ЭТО КАЗИНО НЕЛЬЗЯ ОСТАНОВИТЬ!</t>
  </si>
  <si>
    <t>12Е ПРИБАВКА ПРИЯТНАЯ! ХОТЯ БЫ УЛЬТ НАЖМЁМ...</t>
  </si>
  <si>
    <t>АЛЬБЕДО💎</t>
  </si>
  <si>
    <t>СТАКИ ЛЕГКО НАБРАТЬ</t>
  </si>
  <si>
    <t>БАФФ СЯО? ИЛИ МНЕ НА КЛИ ПРЫГАТЬ?</t>
  </si>
  <si>
    <t>СПОРНО! ОХ КАК СПОРНО! СТАБИЛЬНОСТЬ ПОД ВОПРОСОМ...</t>
  </si>
  <si>
    <t>ЧУТЬ ЧАЩЕ БУДЕТ БИТЬ СТЕЛЛА! +АКТИВАЦИЯ МИЛЕЛЛИТА!</t>
  </si>
  <si>
    <t>ЧЖУН ЛИ💎</t>
  </si>
  <si>
    <t>КООП В 1.1 ПРОЦВЕТАЛ ВИДИМО? РАЗ ТУТ ТАКОЕ...</t>
  </si>
  <si>
    <t>2,2к</t>
  </si>
  <si>
    <t>РАДИУС, КОТОРЫЙ И ТАК НЕ МАЗАЛ. И СТАН КОТОРЫЙ НЕ РАБОТАЕТ...</t>
  </si>
  <si>
    <t>ХИЛ ТАМ НЕ БОЛЬШОЙ... А ЧТО ВАЖНЕЙ, А КТО ЩИТ СБИТЬ МОЖЕТ?</t>
  </si>
  <si>
    <t>ЧТО? КОГО МАССОВЫЙ? ЭТО КУДА?</t>
  </si>
  <si>
    <t>НИН ГУАН💎</t>
  </si>
  <si>
    <t>ЭНЕРГИИ БОЛЬШЕ НЕ ДАСТ! ТАМ КД ПОЛУЧЕНИЯ...</t>
  </si>
  <si>
    <t>ХАХААХ! СЮДА ЭТИ РЕЗИСТЫ!</t>
  </si>
  <si>
    <t>НЕ ПЛОХО, НО КАК МОЖНО УВИДЕТЬ ПО % НЕ ТАК И МНОГО ДАЁТ...</t>
  </si>
  <si>
    <t>СТАБИЛЬНЫЙ ХИЛ, НУ ЛАДНО... БАЗОВАЯ МЕХАНИКА!</t>
  </si>
  <si>
    <t>НОЭЛЛЬ💎</t>
  </si>
  <si>
    <t>ЗАРЯЖКА НЕ ДЛЯ НАС...</t>
  </si>
  <si>
    <t>ЩИТ ЧУТЬ КРЕПЧЕ + НЕМНОГО ХИЛА!</t>
  </si>
  <si>
    <t>В ЦЕЛОМ ПОПАСТЬ ЛЕГКО</t>
  </si>
  <si>
    <t>ТЕПЕРЬ МОЖНО ИГРАТЬ КАК ДД!</t>
  </si>
  <si>
    <t>РАБОТАЕТ НА ВСЮ ПАЧКУ! СЛОМ СТЕНЫ БАФФ НЕ СНИМАЕТ!</t>
  </si>
  <si>
    <t>ГГ - ГЕО💎</t>
  </si>
  <si>
    <t>КОГДА-ТО ЕШКА ДОСТАНЕТ ВРАГА! КОГДА-ТО...</t>
  </si>
  <si>
    <t>5Е НЕ БУДЕТ ЛИШНИМ! ПРОТИВ ТОЛПЫ ИЗИ УЛЬТ!</t>
  </si>
  <si>
    <t>ЧИСТО БАФФ ДЛЯ С1 И НЕ БОЛЕЕ!</t>
  </si>
  <si>
    <t>БАФФ В МИРЕ НА САМОМ ДЕЛЕ ОЧЕНЬ ДАЖЕ ПОЛЕЗНЫЙ!</t>
  </si>
  <si>
    <t>КИНИЧ☘️</t>
  </si>
  <si>
    <t>СИЛЬНАЯ ПРИБАВКА КАК СЕБЕ, ТАК И ВТОРОМУ ДЕНДРО!</t>
  </si>
  <si>
    <t>В СРЕДНЕМ ДАЁТ 20Е, ЧТО МЕГА МНОГО!</t>
  </si>
  <si>
    <t>РИКОШЕТ РАБОТАЕТ И В ОДНУ ЦЕЛЬ!</t>
  </si>
  <si>
    <t>ПРИБАВКА ДИКАЯ! КОНСТА МЕГА ПОЛЕЗНАЯ И СИЛЬНАЯ!</t>
  </si>
  <si>
    <t>ЭМИЛИЯ☘️</t>
  </si>
  <si>
    <t>БЕЗ ДРЕМУЧКИ БАФФ ЛУЧШЕ! НО ДРЕМУЧКА ЕСТЬ ВСЕГДА...</t>
  </si>
  <si>
    <t>УРОН ПУШКИ С П1 НЕ РАСТЁТ!</t>
  </si>
  <si>
    <t>ОЧЕНЬ ПОЛЕЗНАЯ КОНСТА! НО ПУШКА РЕЖЕ СТРЕЛЯЕТ...</t>
  </si>
  <si>
    <t>В ЦЕЛОМ ПРИБАВКА ХОРОШАЯ, НО УДАРОВ МАЛОВАТО...</t>
  </si>
  <si>
    <t>ВЫНОСЛИВОСТЬ ДАЁТ МНОГО, ДЕНДРО БОНУС ТОЖЕ</t>
  </si>
  <si>
    <t>ЯО ЯО☘️</t>
  </si>
  <si>
    <t>ПРОЩЕ НАЖИМАТЬ УЛЬТ</t>
  </si>
  <si>
    <t>ПРИБАВКА ХОТЬ И САМАЯ БОЛЬШАЯ, НО ВСЁ РАВНО МИЗЕР</t>
  </si>
  <si>
    <t>СТАТУС + ХИЛЛ = ОЧЕНЬ ПОЛЕЗНАЯ КОНСТА. 1 СС ЗА УДАР</t>
  </si>
  <si>
    <t>ДОП. СТАТУ И УРОН. ТАКОЙ НЕДО С4</t>
  </si>
  <si>
    <t>КИРАРА☘️</t>
  </si>
  <si>
    <t>ВАУ! КООП ЩИТ! СПАСИБО ЗА БАЗОВУЮ МЕХАНИКУ...</t>
  </si>
  <si>
    <t>С4📍+💊+👑</t>
  </si>
  <si>
    <t>3 ДОП. УДАРА С КАРМАНА = ХОРОШИЙ СТАТУС! (1 СС УДАР)</t>
  </si>
  <si>
    <t>СТАБИЛЬНЫЙ БАФФ СЕБЕ И ВСЕЙ ПАЧКЕ!</t>
  </si>
  <si>
    <t>36к</t>
  </si>
  <si>
    <t>ДВЕ ЕШКИ ЭТО ВСЕГДА ХОРОШО!</t>
  </si>
  <si>
    <t>БАЙ ДЖУ☘️</t>
  </si>
  <si>
    <t>6к</t>
  </si>
  <si>
    <t>С2 СЧИТАЕТСЯ ЕШКА, А ЗНАЧИТ МОЖНО МИЛЛЕТ ТЕПЕРЬ НОСИТЬ!</t>
  </si>
  <si>
    <t>7,2к</t>
  </si>
  <si>
    <t>БАФФ ПОСЛЕ УЛЬТЫ. ХОТЬ И СЛАБОВАТ КАК ДЛЯ ЛЕГЫ...</t>
  </si>
  <si>
    <t>16к</t>
  </si>
  <si>
    <t>ТЕПЕРЬ У НАС НА 9 ЩИТОВ БОЛЬШЕ! А ЭТО ТОЖЕ СТАТУС!</t>
  </si>
  <si>
    <t>ТЕПЕРЬ МЫ В БУТОНАХ ТОЧНО БЕСМЕРТНЫ!</t>
  </si>
  <si>
    <t>КАВЕХ☘️</t>
  </si>
  <si>
    <t>НУ В ЦЕЛОМ СКОРОСТЬ АТАКИ НУЖНА. НО! УДАРОВ НЕ ТАК МНОГО...</t>
  </si>
  <si>
    <t>НЕМНОГО БУДЕТ БАФФ ЛУЧШЕ...</t>
  </si>
  <si>
    <t>БАФФ ТОЛЬКО НАМ! И ТОТ ТАКОЙ СЕБЕ...</t>
  </si>
  <si>
    <t>НУ ЛОПАТЬ БУТОНЫ ОТ УДАРОВ ОБЫЧНЫХ. НЕ ПЛОХО!</t>
  </si>
  <si>
    <t>КД ЕШКИ ПОМОГАЕТ ДЕЛАТЬ БЫСТРЫЕ РОТАЦИИ!</t>
  </si>
  <si>
    <t>АЛЬ-ХАЙТАМ☘️</t>
  </si>
  <si>
    <t>ЗАЛИТЬ СЕБЕ МС КУЧА! ПОЧЕМУ БЫ НЕТ?</t>
  </si>
  <si>
    <t>ХОРОШИЙ БАФФ СЕБЕ И ВСЕЙ ПАЧКЕ!</t>
  </si>
  <si>
    <t>МОЖНО ПО РАЗНОМУ ИГРАТЬ, НО ПРОЩЕ ВЫДАТЬ УЛЬТ СРАЗУ</t>
  </si>
  <si>
    <t>НА САМОМ ДЕЛЕ В ПИРО МЫ РЕДКО ИГРАЕМ... А ЗНАЧИТ +УРОН</t>
  </si>
  <si>
    <t>НАХИДА☘️</t>
  </si>
  <si>
    <t>УЛЬТРА БОЛЬШОЙ БАФФ ВСЕЙ ПАЧКЕ! МАСТ ХЭВ В ВЕГЕТАЦИИ!</t>
  </si>
  <si>
    <t>ПРОСТО ДОП. УРОН СЕБЕ!</t>
  </si>
  <si>
    <t>НУ ТИПА КАК С1 ТОЛЬКО ХУЖЕ В РАЗА 4</t>
  </si>
  <si>
    <t>У ДОП. ТРИКАРМЫ СВОЙ СТАТУС ЗНАЧИТ БУДЕТ СТИМУЛЯЦИЯ!</t>
  </si>
  <si>
    <t>20% ВЭ С КАРМАНА... НУУУ. ТИПА НЕ ПЛОХО...</t>
  </si>
  <si>
    <t>КОЛЛЕИ☘️</t>
  </si>
  <si>
    <t>ЧУТЬ СТАТУСА И ЧУТЬ УРОНА!</t>
  </si>
  <si>
    <t>БАФФ НА САМОМ ДЕЛЕ НЕ ПЛОХОЙ!</t>
  </si>
  <si>
    <t>ПРИМЕРНО КАК С2, НО МОМЕНТАМИ ДАЖЕ ХУЖЕ...</t>
  </si>
  <si>
    <t>ПРОСТО ПРИЯТНЫЙ БАФФ</t>
  </si>
  <si>
    <t>ТИГНАРИ☘️</t>
  </si>
  <si>
    <t>НЕ ЗАБЫВАЕМ ПРО БАЛАНС СТАТОВ, ВЕДЬ ТЕПЕРЬ АФФИКСА МНОГО</t>
  </si>
  <si>
    <t>ОЧЕНЬ ПОЛЕЗНАЯ КОНСТА. КАК ДЛЯ НАС, ТАК И ДЛЯ ПАЧКИ!</t>
  </si>
  <si>
    <t>КАЖДЫЙ ДОП. ВЫСТРЕЛ ИМЕЕТ СВОЙ СТАТУС - 1 СС(БЕЗ КД)</t>
  </si>
  <si>
    <t>3,5Е</t>
  </si>
  <si>
    <t>3,5Е ЗА ЕШКУ. НУ ПРОСТО ОК!</t>
  </si>
  <si>
    <t>ГГ - ДЕНДРО☘️</t>
  </si>
  <si>
    <t>3 сек. СТАТУСА И УРОНА = ТОП КОНСТА!</t>
  </si>
  <si>
    <t>П2 СРАЗУ ДАЁТ 30 МС И МАКС БАФФ НАБИРАЕТСЯ ЗА 5 сек.</t>
  </si>
  <si>
    <t>ЗАЧАСТУЮ БАФФАЕТ 1го ДЕНДРО И 1го ГИДРО\ЭЛЕКТРО</t>
  </si>
  <si>
    <t>60к</t>
  </si>
  <si>
    <t>КАЖДЫЙ БУТОН ХИЛИТ 6к АКТИВНОМУ ПЕРСУ, КАЖДЫЕ 2 сек.</t>
  </si>
  <si>
    <t>ЛАУМА☘️</t>
  </si>
  <si>
    <t>ДЕЛАЕТ БАФФ УЛЬТЫ х2, ЧТО КРУТОЙ БАФФ!</t>
  </si>
  <si>
    <t>2-4%</t>
  </si>
  <si>
    <t>НЕМНОГО ДЕЛАЕТ СИЛЬНЕЙ БУТОНЫ</t>
  </si>
  <si>
    <t>ТЕПЕРЬ УЛЬТ ТОЧНО БУДЕТ СТАБИЛЬНЫЙ!</t>
  </si>
  <si>
    <t>70% ЭТО КАРМАН! А ТАМ И НА ПОЛЕ МОЖНО БИТЬ! КОРОЧЕ ИМБА!</t>
  </si>
  <si>
    <t>ПРИЯТНАЯ ПРИБАВКА. РАБОТАЕТ СТАБИЛЬНО!</t>
  </si>
  <si>
    <t>НЕФЕР☘️</t>
  </si>
  <si>
    <t>КАКАЯ-ТО ДИКАЯ ПРИБАВКА. ПОКА СЛОЖНО ВЕРИТСЯ!</t>
  </si>
  <si>
    <t>ПРИЯТНЫЙ ПОСТОЯННЫЙ СРЕЗ. ЛИШНИМ НЕ БУДЕТ!</t>
  </si>
  <si>
    <t>2 ДОП. УДАРА В ЗАРЖЕННУЮ + ДИКИЙ РАЗГОН ЛУН. БУТОН</t>
  </si>
  <si>
    <t>ХАРАКТЕРИСТИКА</t>
  </si>
  <si>
    <t>МИНИМУМ</t>
  </si>
  <si>
    <t>МАКСИМУМ</t>
  </si>
  <si>
    <t>КРИТ. ШАНС</t>
  </si>
  <si>
    <t>КРИТ СИЛЬНО РЕШАЕТ НА РИЗЛИ!</t>
  </si>
  <si>
    <t>КРИТ. УРОН</t>
  </si>
  <si>
    <t>ПРОСТО 1к2, А ЗАТЕМ К ЛИМИТУ</t>
  </si>
  <si>
    <t>СИЛА АТАКИ</t>
  </si>
  <si>
    <t>ЭТО СА БЕЗ БЕННЕТА! ЗА СЧЁТ П2 НАБРАТЬ ЛЕГКО!</t>
  </si>
  <si>
    <t>МАСТЕР. СТИХИЙ</t>
  </si>
  <si>
    <t>250 - это в  🔥❄️</t>
  </si>
  <si>
    <t>ВЭ</t>
  </si>
  <si>
    <t>100% - ЕСЛИ УЛЬТ НЕ НАДО</t>
  </si>
  <si>
    <t>ЗАЩИТА</t>
  </si>
  <si>
    <t>СОБИРАТЬ НЕТ СМЫСЛА...</t>
  </si>
  <si>
    <t>ХП</t>
  </si>
  <si>
    <t>19к</t>
  </si>
  <si>
    <t>20к</t>
  </si>
  <si>
    <t>35% - НУЖНО  ДЛЯ ФАВОНИЯ</t>
  </si>
  <si>
    <t>ПРОСТО 1к2</t>
  </si>
  <si>
    <t>3к - ЭТО С ОРУЖИЕМ, НО БЕЗ БЕННЕТА</t>
  </si>
  <si>
    <t>100 - это в 🔥❄️</t>
  </si>
  <si>
    <t>150% - ЭТО С ФАВОНИЕМ(ЦЕРЕМОН.) и С4</t>
  </si>
  <si>
    <t>18к</t>
  </si>
  <si>
    <t>ШК НАБИРАЕТ С УЧЁТОМ КРИО РЕЗОНАНСА</t>
  </si>
  <si>
    <t>НЕ ЗАБЫВАЕМ ПРО С1. ТАМ НАДО ШК ПОД 95% НАБРАТЬ</t>
  </si>
  <si>
    <t>СА ТАК ЖЕ ДАЁТ НАМ ХИЛЛ. ПОЭТОМУ 2500+ МОЖНО!</t>
  </si>
  <si>
    <t>100 - это в 🔥❄️(НО ТАКОЕ РЕДКО!)</t>
  </si>
  <si>
    <t>ХОТЬ МЫ ИГРАЕМ ЧАСТО В МОНО КРИО 160% НЕ ЛИШНИЕ</t>
  </si>
  <si>
    <t>ШК ДЛЯ ФАВОНИЯ. УРОНА СВОЕГО МАЛО...</t>
  </si>
  <si>
    <t>1к2</t>
  </si>
  <si>
    <t>СА ДАЁТ ОЧЕНЬ МАЛО! НО ПРЯМ ЛИШНИМ НЕ БУДЕТ</t>
  </si>
  <si>
    <t>50 - это в 🔥❄️(НО ТАКОЕ РЕДКО!)</t>
  </si>
  <si>
    <t>УЛЬТУ МЫ НЕ ВСЕГДА НАЖИМАЕМ! НО ВЭ НЕ ЛИШНЯЯ</t>
  </si>
  <si>
    <t>ЛИМИТОВ В ЦЕЛОМ НЕТ. СОБИРАЙ ПО МАКСИМУМ!</t>
  </si>
  <si>
    <t>КРИО РЕЗОНС+СЕТЫ ТОЖЕ УЧИТЫВАЕМ!</t>
  </si>
  <si>
    <t>ШК ЛЕГКО НАБРАТЬ, А КУ НЕТ! ПОЭТОМУ НАБИРАЕМ!</t>
  </si>
  <si>
    <t>СОБИРАЕМ ПО МАКСИМУМ. ВЕДЬ ИСТОЧНИКОВ МАЛО!</t>
  </si>
  <si>
    <t>250 - это в 🔥❄️(НО ТАКОЕ РЕДКО!)</t>
  </si>
  <si>
    <t>У НАС НЕТ ЭНЕРГИИ! ВЭ НЕ НАДО!</t>
  </si>
  <si>
    <t>35% ДЛЯ ФАВОНИЯ</t>
  </si>
  <si>
    <t>УРОН ТИПА НЕМНОГО ЕСТЬ, ПОЭТОМУ КУ МОЖНО!</t>
  </si>
  <si>
    <t>УРОН ПОЧТИ НЕ РАСТЁТ, ЗНАЧИТ НЕ СОБИРАЕМ</t>
  </si>
  <si>
    <t>МС И УРОН ДАЁТ И ЩИТ. В ЦЕЛОМ ВЫГОДНО!</t>
  </si>
  <si>
    <t>УЛЬТ ПОЧТИ ВСЕГДА ПОЛЕЗЕН! НО ЦЕРЕМОН. И СВИТКИ</t>
  </si>
  <si>
    <t>ШК НАБИРАЕТ С УЧЁТОМ КРИО РЕЗОНАНСА\ОРУЖИЯ</t>
  </si>
  <si>
    <t>КУ НАБРАТЬ СЛОЖНОВАТО, НО РЕАЛЬНО!</t>
  </si>
  <si>
    <t>СА ДАЁТ МНОГО УРОНА, ВСЕГДА!</t>
  </si>
  <si>
    <t>50 - это в 💧❄️🔨</t>
  </si>
  <si>
    <t>ЕСТЬ ПАЧКИ, ГДЕ УЛЬТ НЕ НАЖИМАЕМ (ПРЫЖКИ)</t>
  </si>
  <si>
    <t>ШК ТОЛЬКО ДЛЯ ФАВОНИЯ</t>
  </si>
  <si>
    <t>УРОНА СВОЕГО ВООБЩЕ НЕТ!</t>
  </si>
  <si>
    <t>СА НИЧЕГО НЕ ДАЁТ! 1700 - ЭТО СИГНА ЭСКО!</t>
  </si>
  <si>
    <t>УРОНА НЕТ, А ЗНАЧИТ МС ЛИШНИЙ!</t>
  </si>
  <si>
    <t>180% С СИГНОЙ ЭСКОФЬЕ НЕ ХВАТИТ! ТАМ НАДО 230%</t>
  </si>
  <si>
    <t>32к</t>
  </si>
  <si>
    <t>38к</t>
  </si>
  <si>
    <t>ХП НАДО МНОГО! ВЕДЬ ЭТО ХИЛЛ ДЛЯ МОЛЛЮСКА!</t>
  </si>
  <si>
    <t>35% ДЛЯ ФАВОНИЯ, 60% ДЛЯ ЛИЧНОГО УРОНА</t>
  </si>
  <si>
    <t>СА ЭТО БАФФ\УРОН, ПОЭТОМУ НАБИРАЕМ В ЛИМИТ</t>
  </si>
  <si>
    <t>УЛЬТА НУЖНА! 130-160% НЕ ХВАТАЕТ! ЧАСЫ НА ВЭ НОРМА</t>
  </si>
  <si>
    <t>50% КАК ДЛЯ САПА, 95% АКТИВНЫЙ ДД</t>
  </si>
  <si>
    <t>1450 - САП, 2000 - АКТИВНЫЙ ДД</t>
  </si>
  <si>
    <t>100 - это в 🔥❄️(НЕ ЭФФЕКТИВНО!)</t>
  </si>
  <si>
    <t>120% - АКТИВНЫЙ ДД, 160% - САП</t>
  </si>
  <si>
    <t>РЕЗОНАНС+СЕТ = ИЗИ ШК</t>
  </si>
  <si>
    <t>А ОТ КУ НАБРАТЬ НЕ ТАК ЛЕГКО... ТА И СА ЛУЧШЕ!</t>
  </si>
  <si>
    <t>СА ВАЖНА! ПОМЕНЯТЬ КУ на СА В КОРОНЕ - ЭТО НОРМА!</t>
  </si>
  <si>
    <t>УЛЬТ ЭТО 60% УРОНА, ЗНАЧИТ НАЖИМАТЬ НАДО!</t>
  </si>
  <si>
    <t>ШК НАБИРАЕМ С УЧЁТОМ КРИО РЕЗОНАНСА\ОРУЖИЯ</t>
  </si>
  <si>
    <t>ТАК КАК СИГНА НЕ ДАЁТ КМ. ТО НАБРАТЬ КУ СЛОЖНО!</t>
  </si>
  <si>
    <t>СА НАБРАТЬ СЛОЖНОВАТО! НО НАДО!</t>
  </si>
  <si>
    <t>УЛЬТ НАДО! А НАБРАТЬ НЕ ТАК ЛЕГКО...</t>
  </si>
  <si>
    <t>ШК ОТ РЕЗОНАНСА НЕ ДАЁТ ШК ИЗ П2</t>
  </si>
  <si>
    <t>НАБРАТЬ ШК СЛОЖНО, А КУ ЕЩЁ СЛОЖНЕЙ...</t>
  </si>
  <si>
    <t>УРОН НА САМОМ ДЕЛЕ ЕСТЬ! ПОЭТОМУ СА НЕ ЛИШНЯЯ</t>
  </si>
  <si>
    <t>НАБРАТЬ УЛЬТ НЕ СЛОЖНО, ТЕМ БОЛЕЕ ФАВОНИЙ ЧАСТО</t>
  </si>
  <si>
    <t>СЕТЫ\РЕЗОНАНСЫ\П1 = ИЗИ ШК</t>
  </si>
  <si>
    <t>СА ДАЁТ МНОГО, НО НАБРАТЬ СЛОЖНОВАТО...</t>
  </si>
  <si>
    <t>100% - ЕСЛИ УЛЬТ НЕ НАДО, ИНОГДА КОМУ-ТО МЕШАЕТ...</t>
  </si>
  <si>
    <t>УРОНА ПОЧТИ НЕТ, ЗНАЧИТ НЕ СОБИРАЕМ!</t>
  </si>
  <si>
    <t>УЛЬТ ДОРОГОЙ, НО ЗА СЧЁТ С1, НАЖАТЬ ПРОЩЕ!</t>
  </si>
  <si>
    <t>ХП ХОТЬ И ДАЁТ МНОГО, НО ЛУЧШЕ ВЭ\ЛЕЧЕНИЕ</t>
  </si>
  <si>
    <t>50% - КАК САПУ, 90% ДЛЯ СВОЕГО УРОНА</t>
  </si>
  <si>
    <t>УРОН ХОРОШО РАСТЁТ, НО НАБРАТЬ СА СЛОЖНО!</t>
  </si>
  <si>
    <t>НА САМОМ ДЕЛЕ СТОЛЬКО ВЭ НАМ НЕ НАДО!</t>
  </si>
  <si>
    <t>35% ДЛЯ ФАВОНИЯ, 75% ДЛЯ ЛИЧНОГО УРОНА</t>
  </si>
  <si>
    <t>В ПРЫЖКАМ СА ПОЛЕЗНА, А ТАК... БЕЗ РАЗНИЦЫ</t>
  </si>
  <si>
    <t>250 - это в 🔥❄️+ПРЫЖКИ(НО ТАКОЕ РЕДКО!)</t>
  </si>
  <si>
    <t>ТУТ ИЛИ СТАБИЛЬНЫЙ УЛЬТ, ИЛИ ВООБЩЕ НЕ НАЖИМАЙ</t>
  </si>
  <si>
    <t>ЧУНЬ ЮНЬ❄️</t>
  </si>
  <si>
    <t>35% ДЛЯ ФАВОНИЯ, 70% СВОЕГО УРОНА</t>
  </si>
  <si>
    <t>КУ УРОН ДАЁТ, НО У НАС ЕГО ВСЁ РАВНО МАЛО...</t>
  </si>
  <si>
    <t>СА МНОГО НЕ НАДО! 2600 - ЭТО ВОЛЧЬЯ ПОГИБЕЛЬ!</t>
  </si>
  <si>
    <t>УЛЬТ КОНЕЧНО НИЧЕГО НЕ ДЕЛАЕТ, НО НАЖАТЬ МОЖНО</t>
  </si>
  <si>
    <t>ПОГРЕШНОСТЬ ПРОСТИТЕЛЬНА!</t>
  </si>
  <si>
    <t>УПАСИ ГОСПОДЬ!</t>
  </si>
  <si>
    <t>200 - это в 💧⚡️\ 600 - это в ☘️💧</t>
  </si>
  <si>
    <t>НАБИРАЕМ, ЧТО БЫ БЫЛО!</t>
  </si>
  <si>
    <t>35к</t>
  </si>
  <si>
    <t>ЛИМИТОВ НЕТ! СОБИРАЙ ПО МАКСИМУМ!</t>
  </si>
  <si>
    <t>ДЛЯ АКТИВИЦИИ ФАВОНИЯ!</t>
  </si>
  <si>
    <t>КУ ДАЁТ МАЛО!</t>
  </si>
  <si>
    <t>100 - это в ☘️💧 и 💧⚡️(СТАТУСА ТОЛКОМ НЕТ...)</t>
  </si>
  <si>
    <t>С ФАВОНИЕМ ЛЕГКО УЛЬТ НАБРАТЬ!</t>
  </si>
  <si>
    <t>40к</t>
  </si>
  <si>
    <t>40% ДЛЯ АКТИВИЦИИ ФАВОНИЯ! 70% С УЛОВОМ!</t>
  </si>
  <si>
    <t>96%%</t>
  </si>
  <si>
    <t>МЫ ДОЛЖНЫ КРИТОНУТЬ КАЖДЫМ УДАРОМ!</t>
  </si>
  <si>
    <t>У НАС ТОЛЬКО 🔥💧, ПОЭТОМУ НАДО МС! И НЕ МАЛО</t>
  </si>
  <si>
    <t>УЛЬТ ДАЖАТ СИЛЬНО! ЗНАЧИТ НАДО ПО КД ЖАТЬ</t>
  </si>
  <si>
    <t>34к</t>
  </si>
  <si>
    <t>28 ШК ОТ СИГНЫ ДЛЯ УЛЬТЫ | 35% ДЛЯ ФАВОНИЯ</t>
  </si>
  <si>
    <t>НЕ ЗАБЫВАЕМ ПРО СИГНУ!</t>
  </si>
  <si>
    <t>МС ОСОБО НИЧЕГО НЕ ДАЁТ! 200 - в ☘️💧</t>
  </si>
  <si>
    <t>ДАБЛ ГИДРО + 160% = УЛЬТ | А ВООБЩЕ УЛЬТ НЕ НАДО!</t>
  </si>
  <si>
    <t>65к</t>
  </si>
  <si>
    <t>ХП ДАЁТ НАМ ВСЁ! ЭТО НАШ ОСНОВНОЙ СТАТ!</t>
  </si>
  <si>
    <t>ЧАСТО ИГРАЕТ КАК САП, ПОЭТОМУ 70% МИНИМАЛКА!</t>
  </si>
  <si>
    <t>200 - в ☘️💧\💧⚡️ (СВОЙ УРОН ВСЕГДА ВЫШЕ БУТОНОВ!)</t>
  </si>
  <si>
    <t>160% МОЖНО ДАБЛ ГИДРО + ГРАМОТНЫЕ РУКИ!</t>
  </si>
  <si>
    <t>38к ЭТО ТОЧНО МИНИМАЛКА! Я БЫ ДАЖЕ ВЗЯЛ 40к</t>
  </si>
  <si>
    <t>ШК НАБИРАЕТ МЕГА ЛЕГКО!</t>
  </si>
  <si>
    <t>КУ ТОЖЕ ЧАСТО В ИЗБЫТКЕ! ПОЭТОМУ ТОПИК К ЛИМИТУ!</t>
  </si>
  <si>
    <t>РЕАКЦИИ ЭТО НЕ КАНЁК НЕВИ! 100 МС ЧТО БЫ БЫЛО...</t>
  </si>
  <si>
    <t>С ФУРИНОЙ И СИГНОЙ УЛЬТ ИЗИ НАБРАТЬ!</t>
  </si>
  <si>
    <t>43к</t>
  </si>
  <si>
    <t>ХП ДАЁТ МНОГО! НЕ ЗАБЫВАЕМ МИНИМАЛКУ!</t>
  </si>
  <si>
    <t>ГИДРО - ГГ💧</t>
  </si>
  <si>
    <t>35% ДЛЯ ФАВОНИЯ, 80% РАДИ СВОЕГО УРОНА</t>
  </si>
  <si>
    <t>СА ХОТЬ УРОН ДАЁТ. ХОТЯ ЕГО ТАМ ТОЛКОМ И НЕТ...</t>
  </si>
  <si>
    <t>200 - в ☘️💧\💧⚡️</t>
  </si>
  <si>
    <t>УЛЬТ МЕГА ДОРОГОЙ И ПРИ ЭТОМ КАЛЛ...</t>
  </si>
  <si>
    <t>ХП СОБИРАТЬ НЕ НАДО! ХОТЯ ХОТЕЛОСЬ БЫ...</t>
  </si>
  <si>
    <t>УРОН СВОЕГО МАЛО. НЕ ЗАБЫВАЕМ ПРО С6!</t>
  </si>
  <si>
    <t>ПРОСТО 1к2. ПРО С6 НЕ ЗАБВАЕМ!</t>
  </si>
  <si>
    <t>НА САМОМ ДЕЛЕ ЕЁ МС ТОЖЕ РЕШАЕТ В БУТОНАХ!</t>
  </si>
  <si>
    <t>УЛЬТ МОЖНО НЕ НАЖИМАТЬ. НО 130% ХВАТИТ</t>
  </si>
  <si>
    <t>74,5к</t>
  </si>
  <si>
    <t>ИДЕАЛЕ ДОБИВАЕМ ДО ЛИМИТА!</t>
  </si>
  <si>
    <t>ШК ДЛЯ НАС ОЧЕНЬ ПОЛЕЗЕН!</t>
  </si>
  <si>
    <t>С ЭМБЛЕМОЙ 200 НАБРАТЬ ЛЕГКО!</t>
  </si>
  <si>
    <t>37к</t>
  </si>
  <si>
    <t>ШК КАК ВСЕГДА ВАЖЕН ДЛЯ УРОНА!</t>
  </si>
  <si>
    <t>0 - в МОНО 💧 | 150 - 💧⚡️\🔥💧 | 600 - в ☘️💧</t>
  </si>
  <si>
    <t>УЛЬТ НУЖЕН! ПОЭТОМУ НЕ СКУПИМСЯ НА ВЭ</t>
  </si>
  <si>
    <t>ШК ДАЖЕ 90% НАБРАТЬ ЭТО УЖЕ СИЛЬНО!</t>
  </si>
  <si>
    <t>КУ МЕГА ТЯЖЕЛО НАБРАТЬ, НО НАДО!</t>
  </si>
  <si>
    <t>СА КАК ВСЕГДА ДАЁТ ОЧЕНЬ МНОГО!</t>
  </si>
  <si>
    <t>МС ВЕЗДЕ ОДИНАКОВЫЙ</t>
  </si>
  <si>
    <t>УЛЬТ ЭТО БАЗА! ПОЭТОМУ МЫ ОБЬЯЗАНЫ НАЖАТЬ!</t>
  </si>
  <si>
    <t>УРОН?! ГДЕ?! Я НЕ ВИДЕЛ...</t>
  </si>
  <si>
    <t>УРОНА НЕТ ТАМ! СА НИЧЕГО НЕ ДЕЛАЕТ...</t>
  </si>
  <si>
    <t>1000 - в ☘️💧</t>
  </si>
  <si>
    <t>Я БЫ УЛЬТ ВООБЩЕ НЕ НАЖИМАЛ БЫ!</t>
  </si>
  <si>
    <t>НА ХИЛЛ ВСЁ РАВНО! А НИЧЕГО ДРУГОГО И НЕТ...</t>
  </si>
  <si>
    <t>УРОН ЕСТЬ! ШК НАДО!</t>
  </si>
  <si>
    <t>СА ДАЁТ МНОГО! НО НЕ БОЛЬШЕ ДРУГИХ СТАТОВ...</t>
  </si>
  <si>
    <t>БУКВАЛЬНО ЛУЧШИЙ АКТИВАТОР ☘️💧 В ИГРЕ!</t>
  </si>
  <si>
    <t>НАЖАТЬ УЛЬТ НА 180% УЖЕ ТЯЖЕЛО, НИЖЕ СТРАШНО...</t>
  </si>
  <si>
    <t>ХП ДАЁТ ХИЛЛ, НО ТАМ КОПЕЙКИ. ТАК-ЧТО НЕ НАДО</t>
  </si>
  <si>
    <t>ЧИСТО ДЛЯ ФАВОНИЯ</t>
  </si>
  <si>
    <t>ГИДРО КУБОК ЧАСТО ХУЖЕ СА! НО УРОНА ВСЁ РАВНО НЕТ</t>
  </si>
  <si>
    <t>МС ОСОБО НИЧЕГО НЕ ДАЁТ. 200 МОЖНО НАБРАТЬ</t>
  </si>
  <si>
    <t>ВЭ НУЖНА! ВЕДЬ ДАЁТ НАМ И УРОН, И СТАБИЛЬНОСТЬ!</t>
  </si>
  <si>
    <t>КУ УРОНА ПОЧТИ НЕ ДАЁТ...</t>
  </si>
  <si>
    <t>СА УРОНА ПОЧТИ НЕ ДАЁТ! 1700 - ЭТО АКВАМАРИН!</t>
  </si>
  <si>
    <t>МС НЕ ДЛЯ УРОНА КАК БЫ, А ДЛЯ АКВАМАРИНА!</t>
  </si>
  <si>
    <t>ВЭ МОЖНО 160% ЧИСТО ФАВОНИЙ. НО СОБИРАТЬ НИЧЕГО...</t>
  </si>
  <si>
    <t>ШК НАДО ОЧЕНЬ МНОГО! БЛАГО СЕТ ДАСТ МНОГО...</t>
  </si>
  <si>
    <t>СНАЧАЛА 1к2, А ЗАТЕМ К ЛИМИТУ!</t>
  </si>
  <si>
    <t>2к НАБИРАЕТ ДЛЯ ЛУН. ЗАРЯДА. ХОТЯ СА И ТАК УРОН ДАЁТ</t>
  </si>
  <si>
    <t>МС В БАЗЕ МНОГО НЕ НАДО! ВНЕШНЕ НАБИРАЙ!</t>
  </si>
  <si>
    <t>НА САМОМ ДЕЛЕ НА ДВЕ УЛЬТЫ В 60Е И 100% ХВАТИТ</t>
  </si>
  <si>
    <t>5к СА НУЖНЫ ДЛЯ СТОЯЧИХ ПЕРСОВ</t>
  </si>
  <si>
    <t>200 - это в ☘️⚡️</t>
  </si>
  <si>
    <t>160% ПРИ С1 + ДАБЛ ЭЛЕКТРО</t>
  </si>
  <si>
    <t>КШ РАССЧИТЫВАЕТСЯ ВМЕСТЕ СО ВСЕМ!</t>
  </si>
  <si>
    <t>БЕЗ БЕННЕТА И ИАНСАН. ТО ЕСТЬ ЧИСТАЯ СА</t>
  </si>
  <si>
    <t>0 - МОНО⚡️  ИЛИ 🔥⚡️ | 250 - ☘️⚡️| 600 - ☘️💧⚡️</t>
  </si>
  <si>
    <t>100% - В ДАБЛ ЭЛЕКТРО. 120% - КОГДА ВАРЕСА МОНО ⚡️</t>
  </si>
  <si>
    <t>ЧЕМ БОЛЬШЕ, ТЕМ ЛУЧШЕ</t>
  </si>
  <si>
    <t>БЕЗ ШК, ОТ КУ ТОЛКУ НЕ БУДЕТ! ТОЛЬКО 1к2!</t>
  </si>
  <si>
    <t>1200 СА - КОГДА ИГРАЕТ В ☘️💧⚡️</t>
  </si>
  <si>
    <t>0 - МОНО⚡️  ИЛИ 🔥⚡️ | 250 - ☘️⚡️| 1000 - ☘️💧⚡️</t>
  </si>
  <si>
    <t>180% - ЭТО ФАОВНИЙ + ЭМЕБЛА. МЕНЬШЕ РУИНА ПЕРСА!</t>
  </si>
  <si>
    <t>ХОТЬ И СКЕЙЛЫ ЕСТЬ, НО КАЧАТЬ НЕ НАДО!</t>
  </si>
  <si>
    <t>ТОЛЬКО 1к2!</t>
  </si>
  <si>
    <t>СА КАЧАТЬ ЭФФЕКТИВНЕЙ, ЧЕМ МС!</t>
  </si>
  <si>
    <t>0 -  🔥⚡️ | 250 - ☘️⚡️ и 💧⚡️ | 1000 - ☘️💧⚡️</t>
  </si>
  <si>
    <t>ЕМУ ВЭ ОСОБО НЕ НАДО! П2, П4, РЕЗОНАНС, СВИТКИ</t>
  </si>
  <si>
    <t>ЧЕМ БОЛЬШЕ, ТЕМ ЛУЧШЕ. НЕ ЗАБЫВАЙ ПРО УЛОВ!</t>
  </si>
  <si>
    <t>СА ДАЁТ МНОГО! НО В ФУЛЛ МС МОЖНО НЕ НАБИРАТЬ!</t>
  </si>
  <si>
    <t>270% ЭТО З СИГНОЙ. 160% ЭТО В ФУЛЛ МС</t>
  </si>
  <si>
    <t>ШК КАК ВСЕГДА, МЕГА ВАЖЕН!</t>
  </si>
  <si>
    <t>2500 ЭТО БЕЗ БАФФОВ! СА ДАЁТ МНОГО!</t>
  </si>
  <si>
    <t>50 -  🔥⚡️ | 250 - ☘️⚡️ и 💧⚡️ | 1000 - ☘️💧⚡️</t>
  </si>
  <si>
    <t>НА САМОМ ДЕЛЕ ПРОЩЕ НЕ НАЖИМАТЬ УЛЬТ...</t>
  </si>
  <si>
    <t>ИНЕФФИ⚡️</t>
  </si>
  <si>
    <t>ШК НАДО МНОГО! ВЕДЬ ЛУНА У НАС КРИТУЕТ!</t>
  </si>
  <si>
    <t>КУ МНОГО НАБРАТЬ СЛОЖНО, ВЕДЬ НАДО ШК</t>
  </si>
  <si>
    <t>2000 ДЛЯ ЛУНЫ, МОЖНО СОБИРАТЬ ПОД ФУЛЛ!</t>
  </si>
  <si>
    <t>МС ДАЁТ МНОГО, ВЕДЬ УСИЛЯЕТ ЛУНУ И П1</t>
  </si>
  <si>
    <t>УЛЬТ НАДО! ЧТО БЫ АКТИВИРОВАТЬ П2</t>
  </si>
  <si>
    <t>ШК НАБРАТЬ НЕ ЛЕГКО! ВЕДЬ МС НУЖЕН</t>
  </si>
  <si>
    <t>КУ ВСЕГДА ПРОИГРАВАЕТ МС</t>
  </si>
  <si>
    <t>СА ОСОБО НЕ НУЖНА! 1700 - ЭТО АМОС!</t>
  </si>
  <si>
    <t>МС ЭТО НАШ ХЛЕБ! МАЛО НЕ БЫВАЕТ! 1000 в ☘️💧⚡️</t>
  </si>
  <si>
    <t>УЛЬТ НАДО! НО С ЭНЕРГИЕЙ ПРОБЛЕМЫ РЕДКО</t>
  </si>
  <si>
    <t>ШК ЛЕГКО НАБРАТЬ ЗА СЧЁТ П2</t>
  </si>
  <si>
    <t>3000 ДЛЯ П1, НО В ☘️💧⚡️ МОЖНО И 1700</t>
  </si>
  <si>
    <t>0 - МОНО⚡️  ИЛИ 🔥⚡️ | 250 - ☘️⚡️| 400 - ☘️💧⚡️</t>
  </si>
  <si>
    <t>МОЖНО КОНЕЧНО НЕ НАЖИМАТЬ, НО УЛЬТ ДАМАЖИТ!</t>
  </si>
  <si>
    <t>ШК РЕШАЕТ! НО НАБРАТЬ БЕЗ СИГНЫ ТЯЖКО...</t>
  </si>
  <si>
    <t>КУ ЧАСТО ПРОИГРАВАЕТ МС, А ТАК 1к2</t>
  </si>
  <si>
    <t>СА КАК БЫ НАДО, НО МС ПОЧТИ ВСЕГДА ЛУЧШЕ!</t>
  </si>
  <si>
    <t>150 - в 🔥⚡️ \ 750 - в ☘️💧⚡️</t>
  </si>
  <si>
    <t>УЛЬТ БАЗА! НО НАЖАТЬ ТЯЖКО...</t>
  </si>
  <si>
    <t>ШК ТОЛЬКО ДЛЯ ФАВОНИЯ!</t>
  </si>
  <si>
    <t>КУ НИЧЕГО НЕ ДАЁТ! 60% ДЛЯ ДРАЙВА ЧИСТО!</t>
  </si>
  <si>
    <t>1100 - ХИЛЛЕР \ ДРАЙВЕР - 1600</t>
  </si>
  <si>
    <t>МС КАК БЫ НЕ НАДО, НО ЕСЛИ ДРАЙВЕР 1000 - это в ☘️💧⚡️</t>
  </si>
  <si>
    <t>130% - ДРАЙВЕР \ ХИЛЛЕР - 250%</t>
  </si>
  <si>
    <t>21к - ДРАЙВЕР \ ХИЛЛЕР - 30к</t>
  </si>
  <si>
    <t>ШК ЧИСТО ДЛЯ ФАВОНИЯ!</t>
  </si>
  <si>
    <t>КУ НИЧЕГО НЕ ДАЁТ!</t>
  </si>
  <si>
    <t>СА НИЧЕГО НЕ ДАЁТ! НЕ СОБИРАЕМ!</t>
  </si>
  <si>
    <t>ВООБЩЕ УЛЬТ ОСОБО НЕ НАДО, НО ЛИШНИМ НЕ БУДЕТ!</t>
  </si>
  <si>
    <t>ХП ДАЮТ МНОГО! НАБИРАЕМ!</t>
  </si>
  <si>
    <t>40% ДЛЯ ФАВОНИЯ \ 75% ДЛЯ СВОЕГО УРОНА</t>
  </si>
  <si>
    <t>СА НАМ НЕ НАДО. БАЗОВАЯ ВАЖНА! 870 \ 803 \ 650</t>
  </si>
  <si>
    <t>200 - это в ☘️💧⚡️ \ ☘️⚡️</t>
  </si>
  <si>
    <t>УЛЬТ НЕ ТО ЧТО БЫ НАДО! НО ЛИШНИМ НЕ БУДЕТ!</t>
  </si>
  <si>
    <t>ЭЛЕКТРО - ГГ⚡️</t>
  </si>
  <si>
    <t>СА ПРОСТО ПОЛЕЗНА! НО КМ И МС НЕ ХУЖЕ!</t>
  </si>
  <si>
    <t>0 - МОНО⚡️ | 100 - в 🔥⚡️ | 400 - ☘️⚡️ \ 💧⚡️</t>
  </si>
  <si>
    <t>УЛЬТ НАШЕ ВСЁ! НАДО НАЖАТЬ!</t>
  </si>
  <si>
    <t>НА СВОЙ УРОН РЕДКО РАССЧИТЫВАЕМ!</t>
  </si>
  <si>
    <t>СА КОНЕЧНО НАБРАТЬ МОЖНО! НО ВЭ ВАЖНЕЙ!</t>
  </si>
  <si>
    <t>0 - МОНО⚡️ |  250 - в 🔥⚡️ \ ☘️⚡️ | 1000 - ☘️⚡️💧 \ 💧⚡️</t>
  </si>
  <si>
    <t>УЛЬТ САМ СЕБЯ НЕ НАЖМЁТ!</t>
  </si>
  <si>
    <t>РЕЙЗОР⚡️</t>
  </si>
  <si>
    <t>КОЕ КАК 90% МОЖНО НАБРАТЬ, НО И ТО ТЯЖКО...</t>
  </si>
  <si>
    <t>ТУТ СМОТРИТЕ САМИ! ПОЛУЧАЕТСЯ? НАБИРАЕМ!</t>
  </si>
  <si>
    <t>СА КОНЕЧНО ПОЛЕЗНА, НО ШК И МС САМИ СЕБЯ НЕ НАБЕРУТ</t>
  </si>
  <si>
    <t>0 - ФИЗА | 50 -  🔥⚡️ | 250 - ☘️⚡️ и 💧⚡️ | 1000 - ☘️💧⚡️</t>
  </si>
  <si>
    <t>УЛЬТ ВАЖЕН! ПОЭТОМУ НАДО СТАБИЛЬНОСТЬ!</t>
  </si>
  <si>
    <t>ШК ДАЁТ МНОГО УРОНА!</t>
  </si>
  <si>
    <t>СА ВАЖНА! ДАЁТ ОНА БОЛЬШЕ, ЧЕМ МС!</t>
  </si>
  <si>
    <t>0 -  🔥⚡️ | 200 - ☘️⚡️ и 💧⚡️ \ ☘️💧⚡️</t>
  </si>
  <si>
    <t>УЛЬТ НУЖЕН, ЕСЛИ ХОЧЕШЬ ХОРОШО ИГРАТЬ!</t>
  </si>
  <si>
    <t>ЗА СЧЁТ П2 НАБРАТЬ ЛЕГКО!</t>
  </si>
  <si>
    <t>СА ПОЛЕЗНА! НО НЕ ЗАБЫВАЕМ ПРО ДРУГИЕ СТАТЫ</t>
  </si>
  <si>
    <t>УРОНА И ТАК НЕ МНОГО, УЛЬТ НАЖАТЬ НАДО!</t>
  </si>
  <si>
    <t>80 ШК НАДО ТОЛЬКО НА С6! А ТАК ЧИСТО ДЛЯ ФОВАНИЯ</t>
  </si>
  <si>
    <t>1к2 | НЕ ЗАБЫВАЙТЕ ПРО 70 КУ ИЗ С6</t>
  </si>
  <si>
    <t>4500 ЭТО ЛИМИТ ДЛЯ БАФФА. ВЫШЕ СМЫСЛА НЕТ</t>
  </si>
  <si>
    <t>160%  - ЭТО СИГНА + С1 \ ФАВОНИЙ</t>
  </si>
  <si>
    <t>35% - ФАВОНИЙ. 65% - ДЛЯ СВОЕГО УРОНА</t>
  </si>
  <si>
    <t>СА ВЫГОДНЕЙ КАЧАТЬ ЧЕМ МС, НО ТОЛКУ МАЛО</t>
  </si>
  <si>
    <t>В ЦЕЛОМ МС НЕ НАДО, НО НЕМНОГО НАБРАТЬ МОЖНО</t>
  </si>
  <si>
    <t>МЫ ЗА ВОЗВЫШЕНИЕ УЖЕ 32% ПОЛУЧАЕМ+ФАВ. = 190%</t>
  </si>
  <si>
    <t>35% - ФАВОНИЙ. 80% - ДЛЯ СВОЕГО УРОНА</t>
  </si>
  <si>
    <t>СА ВЫГОДНЕЙ КАЧАТЬ ЧЕМ МС!</t>
  </si>
  <si>
    <t>В ЦЕЛОМ МС ДАЁТ МАЛО! ХИЛЛА В ТОМ ЧИСЛЕ...</t>
  </si>
  <si>
    <t>150% ЕСЛИ ИГРАЕШЬ КАК САППОРТ, В КАРМАНЕ</t>
  </si>
  <si>
    <t>УРОН ПОЧТИ НЕ МЕНЯЕТСЯ... НЕ СОБИРАЕМ!</t>
  </si>
  <si>
    <t>В ЦЕЛОМ ЛИМИТОВ НЕТ, СОБИРАЙ ПО МАКСИМУМ</t>
  </si>
  <si>
    <t>120% ДЛЯ ДРАЙВА, 170% - САП ХИЛЛ+ЯНТАРЬ</t>
  </si>
  <si>
    <t>25к</t>
  </si>
  <si>
    <t>УРОНА КУЧА! ПОЭТОМУ ШК НАДО!</t>
  </si>
  <si>
    <t>СНАЧАЛА 1к2, ЗАТЕМ ДО ЛИМИТА. УРОН ЕСТЬ!</t>
  </si>
  <si>
    <t>ХОТЯ БЫ 1700, А ТО ЩИТ ВООБЩЕ БУДЕТ ХРУПКИЙ</t>
  </si>
  <si>
    <t>1000 НАБРАТЬ СЛОЖНО, НО МОЖНО!</t>
  </si>
  <si>
    <t>ТАК КАК У НАС 2 ЕШКИ, ТО НАЖАТЬ УЛЬТ ЛЕГКО!</t>
  </si>
  <si>
    <t>ТУТ УЧИТЫВАЕМ СРАЗУ ФОЛИАНТ(+40%)</t>
  </si>
  <si>
    <t>ШК ЛЕГКО НАБРАТЬ, ПОЭТОМУ 1к2 ЭТО БАЗА!</t>
  </si>
  <si>
    <t>У НАС СА В КУБКЕ, ПОЭТОМУ 2800 НАБИРАЮТСЯ ЛЕГКО!</t>
  </si>
  <si>
    <t>МС НЕ НАДО! НО 150 БУДЕТ НЕ ЛИШНИМ В 🔥💧\🔥❄️</t>
  </si>
  <si>
    <t>ЕСЛИ УЛЬТ НАЖИМАЕТЕ, ТО 125% НАДО!</t>
  </si>
  <si>
    <t>40% ДЛЯ ФАВОНИЯ, 75% ДЛЯ ЛИЧНОГО УРОНА</t>
  </si>
  <si>
    <t>В ЦЕЛОМ 1к2, НО КУ ЛИШНИМ НЕ БУДЕТ!</t>
  </si>
  <si>
    <t>КУБОК НА СА ЛУЧШЕ, ЧЕМ АНЕМО! СА РЕШАЕТ!</t>
  </si>
  <si>
    <t>В ЦЕЛОМ НЕ НАДО, НО ЛИШНИМ НЕ БУДЕТ!</t>
  </si>
  <si>
    <t>НА САМОМ ДЕЛЕ ШК В КРИО ИЗИ НАБИРАЕТСЯ</t>
  </si>
  <si>
    <t>КУ 1к2 ПО КЛАССИКЕ, НО 220% ЭТО С КРИО ПЕРСОМ</t>
  </si>
  <si>
    <t>1800 С КАЗИНОМ И В КРИО ПАЧКЕ</t>
  </si>
  <si>
    <t>НЕ СОБИРАЕМ! НО МС ЧТО-ТО ТА ДАСТ, В ОТЛИЧИИ ОТ ХП</t>
  </si>
  <si>
    <t>УЛЬТ РЕДКО ЖМЁТ. ТА И В ДАБЛ АНЕМО ИГРАЕТ ЧАСТО</t>
  </si>
  <si>
    <t>УРОН НА С6 ТИПА ЕСТЬ, ПОЭТОМУ НАБИРАЕМ 50%</t>
  </si>
  <si>
    <t>КУ МОЖНО ПО ЖЕЛАНИЮ, КРИТИЧНОГО ВЛИЯНИЯ НЕТ!</t>
  </si>
  <si>
    <t>СА НАМ НЕ НАДО. БАЗОВАЯ ВАЖНА! 871 \ 804 \ 651</t>
  </si>
  <si>
    <t>ХОТЬ И ЧАСТИЦ МНОГО, НО ВЭ НАДО ВСЁ РАВНО МНОГО</t>
  </si>
  <si>
    <t>КУ КАК БЫ НА УРОН ВЛИЯЕТ, НО НАБРАТЬ ТЯЖКО...</t>
  </si>
  <si>
    <t>ДАЖЕ ЕСЛИ БУДЕТ 900 МС, ВСЁ РАВНО ЗВЕЗДА ДАСТ СА</t>
  </si>
  <si>
    <t>900 ЕСЛИ НЕ ХОТИТЕ ДРОЧИТЬ КМ И ПОЛУЧИТЬ УРОН</t>
  </si>
  <si>
    <t>УЛЬТА В ЦЕЛОМ НЕ ВАЖНА, НО ЛИШНИМ НЕ БУДЕТ!</t>
  </si>
  <si>
    <t>35% ДЛЯ ФАВОНИЯ, 50% В ДРАЙВ</t>
  </si>
  <si>
    <t>ПРОСТО 1к2, ИЛИ ВООБЩЕ НЕ НАДО!</t>
  </si>
  <si>
    <t>1800 НА САМОМ ДЕЛЕ НАБРАТЬ СЛОЖНО, НО СА НУЖНА!</t>
  </si>
  <si>
    <t>МС СИЛЬНО РЕШАЕТ НА С6 И ИГРАЯ КАК ДРАЙВЕР</t>
  </si>
  <si>
    <t>130% - КАК ДРАЙВЕРУ, 250% - КАК САП ХИЛЛЕРУ</t>
  </si>
  <si>
    <t>1800 ЭТО З СИГНОЙ, А ТАК СА НЕ НАДО!</t>
  </si>
  <si>
    <t>НЕ В ФУЛЛ МС ИГРАТЬ НЕТ СМЫСЛА!!!</t>
  </si>
  <si>
    <t>УЛЬТ НАДО, ОН П2 АКТИВИРУЕТ С КАРМАНА. 130% НА С1</t>
  </si>
  <si>
    <t>ШК КАК ВСЕГДА СИЛЬНО РЕШАЕТ, ПОЭТОМУ НАБИРАЕМ</t>
  </si>
  <si>
    <t>1к2, А ЗАТЕМ ДО ЛИМИТА</t>
  </si>
  <si>
    <t>УЧИТЫВАЯ ФУРИНУ И ФАРУЗАН, СА НАМ НАД МНОГО!</t>
  </si>
  <si>
    <t>ДАЖЕ С1 И ФАРУЗАН МОЖЕТ НЕ ПОМОЧЬ, ТАК ЧТО 130%</t>
  </si>
  <si>
    <t>СА УРОНА ПОЧТИ НА ДАЁТ, НО РАДИ ХИЛЛА МОЖНО!</t>
  </si>
  <si>
    <t>УЛЬТА НАДО, ПОЭТОМУ СОБИРАЕМ!</t>
  </si>
  <si>
    <t>СА УРОН КОНЕЧНО ДАЁТ, НО СОБИРАТЬ НЕ НАДО</t>
  </si>
  <si>
    <t>1000 МС НАБРАТЬ СЛОЖНО... БЕЗ ФУЛЛ МС ТОЛКУ НЕТ!!</t>
  </si>
  <si>
    <t>ЕШКИ ДВЕ, ПОЭТОМУ НАБРАТЬ ПРОЩЕ, НО ВСЁ ЖЕ 160%</t>
  </si>
  <si>
    <t>АНЕМО - ГГ💨</t>
  </si>
  <si>
    <t>35% ДЛЯ ФАВОНИЯ, 60% ПО ПРИКОЛУ!</t>
  </si>
  <si>
    <t>СА ТИПА ДАЁТ УРОН, КОТОРОГО У НАС НЕТ...</t>
  </si>
  <si>
    <t>А ЧТО ЕЩЁ СОБИРАТЬ?!</t>
  </si>
  <si>
    <t>35% ДЛЯ ФАВОНИЯ, 70% ЕСЛИ ХОЧЕШЬ УРОН!</t>
  </si>
  <si>
    <t>ЗА СЧЁТ С6 БУДЕТ МИНИМУМ 100 КУ</t>
  </si>
  <si>
    <t>СА ДАЁТ И УРОНА МНОГО И ХИЛА, ТАК ЧТО НАБИРАЕМ ФУЛЛ!</t>
  </si>
  <si>
    <t>ВООБЩЕ НЕ НАДО, НО 250 В ЭЛЕГИЕЙ НАБИРАЮТСЯ ЛЕГКО</t>
  </si>
  <si>
    <t>180% НА С4 И В ЭЛЕКТРО, А ТАК 230% НАДО!</t>
  </si>
  <si>
    <t>75% ПРИ ИГРЕ КАК ДД С ФОЛИАНТОМ</t>
  </si>
  <si>
    <t>180% ЭТО ОПЯТЬ ЖЕ В ДД СТОЙКЕ</t>
  </si>
  <si>
    <t>140% В ДАБЛ ГЕО+СВИТКИ. 160% - ФАВОНИЙ\СИГНА</t>
  </si>
  <si>
    <t>3200 - ЭТО ЛИМИТ ДЛЯ СИГНЫ</t>
  </si>
  <si>
    <t>64% ШК НУЖНЫ НА С2. А ТАК ТО К 100% ТЯНЕМ</t>
  </si>
  <si>
    <t>КРИТ. УРОН НЕ ОТКУДА ВЗЯТЬ, А ДАЁТ ОН МНОГО!</t>
  </si>
  <si>
    <t>3300 СА БЕЗ БЕННЕТА | ДАЁТ СА ТАК ЖЕ МНОГО КАК КУ</t>
  </si>
  <si>
    <t>МС ВООБЩЕ НЕ НУЖЕН! ХОТЯ КРИСТАЛЛ СТАНЕТ ЛУЧШЕ</t>
  </si>
  <si>
    <t>100% В ДАБЛ ГЕО + С1</t>
  </si>
  <si>
    <t>В ИДЕАЛЕ ВООБЩЕ 100%, НО ЭТО СЛОЖНОВАТО...</t>
  </si>
  <si>
    <t>КРИТ, ДАЁТ МНОГО! ОЧЕНЬ!</t>
  </si>
  <si>
    <t>СА ДАЁТ МЕНЬШЕ ЗЩ. ПОЭТОМУ НЕ НАДО СОБИРАТЬ!</t>
  </si>
  <si>
    <t>100% В ФУЛЛ МОНО ГЕО. 140% Я СЧИТАЮ ЭТО НОРМА!</t>
  </si>
  <si>
    <t>3200 НАДО КАК МИНИМУМ ДЛЯ СИГНЫ ШИЛОНЕН</t>
  </si>
  <si>
    <t>УРОН НА С6 ТИПА ЕСТЬ, ПОЭТОМУ НАБИРАЕМ 70%</t>
  </si>
  <si>
    <t>НЕ НАДО, ХОТЬ И НА С6 ТАМ КРИСТАЛЛЫ ВЗРЫВАЮТСЯ</t>
  </si>
  <si>
    <t>НА УЛЬТЕ СТОИТ МНОГОЕ, ЗНАЧИТ СОБИРАЕМ!</t>
  </si>
  <si>
    <t>ГЕО КУБОК У НАС РЕДКО БУДЕТ, ЗНАЧИТ ЗЩ МНОГО НАДО</t>
  </si>
  <si>
    <t>СА УРОН ПОЧТИ НЕ ДАЁТ...</t>
  </si>
  <si>
    <t>НАДО КУЧА ЗЩ. ИЗ-ЗА ЧЕГО ВЭ НАБРАТЬ СЛОЖНО</t>
  </si>
  <si>
    <t>ТУТ НАДО ПО МАКСИМУМ, НО НЕ ЗАБЫВАЙ ПРО ВЭ</t>
  </si>
  <si>
    <t>УРОНА НЕТ! ФАВОНИЙ ТОЛЬКО!</t>
  </si>
  <si>
    <t>100 МОЖНО СОБРАТЬ, ВЕДЬ МЫ ЧАСТО ПРИТЯГИВАЕМ</t>
  </si>
  <si>
    <t>ВЭ МАКСИМУМ! ХОТЬ 300% НАБИРАЕМ</t>
  </si>
  <si>
    <t>ТИПА ВЛИЯЕТ, ТИПА НЕТ. КОРОЧЕ КАК ХОТИТЕ...</t>
  </si>
  <si>
    <t>КУ СНАЧАЛА 1к2, ЗАТЕМ ДО ЛИМИТА</t>
  </si>
  <si>
    <t>БЕЗ УЛЬТЫ! 1600 ЭТО С БЕЛОЙ ТЕНЬЮ</t>
  </si>
  <si>
    <t>ДАЖЕ НА С2 СТОИТ 110% НАБРАТЬ. БЕЗ УЛЬТЫ НИКАК</t>
  </si>
  <si>
    <t>НАДО МНОГО, ОЧЕНЬ МНОГО!</t>
  </si>
  <si>
    <t>ШК КАК ВСЕГДА РЕШАЕТ</t>
  </si>
  <si>
    <t>ПРОСТО 1к2, А ЗАТЕМ ЛИМИТ</t>
  </si>
  <si>
    <t>УРОН ПОЧТИ НЕ РАСТЁТ, ЗНАЧИТ НЕ СОБИРАЕМ!</t>
  </si>
  <si>
    <t>125 ЧИСТО ОТ НАС ЖЕ, А ТАК НЕ НАДО</t>
  </si>
  <si>
    <t>ДАЖЕ НА С1 НАДО 140% ВЭ</t>
  </si>
  <si>
    <t>3200 - ЭТО ЛИМИТ ДЛЯ СИГНЫ ШИЛОНЕН</t>
  </si>
  <si>
    <t>СА УРОНА ДАЁТ БОЛЬШЕ, ЧЕМ ХП, НО ВСЁ РАВНО ХП</t>
  </si>
  <si>
    <t>УЛЬТ НАЖИМАТЬ СМЫСЛА МАЛО. НО ЕСЛИ ХОЧ ТО 160%</t>
  </si>
  <si>
    <t>30к УЖЕ ДОСТАТОЧНО ДЛЯ КРЕПКОГО ЩИТА</t>
  </si>
  <si>
    <t>40% ДЛЯ ФАВОНИЯ, 75% ДЛЯ СВОЕГО УРОНА</t>
  </si>
  <si>
    <t>КУ МОЖНО И БОЛЬШЕ, НО ЗАДАЧА СЛОЖНАЯ!</t>
  </si>
  <si>
    <t>СА ДАЁТ МНОГО, ПОЭТОМУ СОБИРАЕМ!</t>
  </si>
  <si>
    <t>100 МОЖНО СОБРАТЬ, ЕСЛИ ИГРАТЬ КАК ДД!</t>
  </si>
  <si>
    <t>УЛЬТ МНОГО ДАМАЖИТ, ПОЭТОМУ НАДО ВЭ</t>
  </si>
  <si>
    <t>ШК МОЖНА НАБРАТЬ С ОХОТНИКА ПОД ФУРИНОЙ</t>
  </si>
  <si>
    <t>КУ МОЖНО ВЗЯТЬ С СИГНЫ ИТТО</t>
  </si>
  <si>
    <t>БЕЗ УЛЬТЫ! 1500 ЭТО С БЕЛОЙ ТЕНЬЮ</t>
  </si>
  <si>
    <t>ВЭ НАДО МНОГО, КАК ДЛЯ ДД!</t>
  </si>
  <si>
    <t>2500 ЭТО С БЕЛОЙ ТЕНЬЮ. КУБОК ВСЕГДА ГЕО!</t>
  </si>
  <si>
    <t>ГЕО - ГГ💎</t>
  </si>
  <si>
    <t>УРОНА ПОЧТИ НЕТ, ТАК ПО ЖЕЛАНИЮ СОБИРАЕМ</t>
  </si>
  <si>
    <t>ЧАСТИЦ МНОГО, УЛЬТ НАЖАТЬ ЛЕГКО!</t>
  </si>
  <si>
    <t>ПИРО - ГГ🔥</t>
  </si>
  <si>
    <t>ЛИМИТОВ НА САМОМ ДЕЛЕ НЕТ!</t>
  </si>
  <si>
    <t>УРОНА СВОЕГО ПОЧТИ НЕТ ПОЭТОМУ - 0 | 1000 - в ☘️💧🔥</t>
  </si>
  <si>
    <t>НАДО ОЧЕНЬ МНОГО ВЭ, ИНАЧЕ УЛЬТЫ НЕ ВИДАТЬ!</t>
  </si>
  <si>
    <t>ШК НАБИРАЕМ ЛЕГКО С ФОЛИАНТОМ</t>
  </si>
  <si>
    <t>КУ НАБРАТЬ СЛОЖНОВАТО, ВЕДЬ СИГНА 11 ШК</t>
  </si>
  <si>
    <t>СОБИРАТЬ ОСОБО НИЧЕГО... СА К ПИКУ ТЯНЕМ!</t>
  </si>
  <si>
    <t>0 - в 🔥⚡️ |  250 - в 🔥❄️\💧 | 1000 - в ☘️💧🔥</t>
  </si>
  <si>
    <t>ШК КАК ВСЕГДА ДАЁТ МНОГО!</t>
  </si>
  <si>
    <t>СА ДАЁТ БОЛЬШЕ ЧЕМ МС, УДАРОВ МНОГО БЕЗ РЕАКЦИЙ!</t>
  </si>
  <si>
    <t>0 - в 🔥⚡️ |  250 - в 🔥❄️\💧 | 600 - в ☘️💧🔥</t>
  </si>
  <si>
    <t>УЛЬТ МОЖНО НЕ НАЖИМАТЬ, 125% ХВАТИТ ДЛЯ УЛЬТЫ</t>
  </si>
  <si>
    <t>НЕ ЗАБЫВАЕМ ПРО С6</t>
  </si>
  <si>
    <t>СА КАК ВСЕГДА ДАЁТ МНОГО!</t>
  </si>
  <si>
    <t>УЛЬТ ВАЖЕН! ДАЖЕ НА С4 НАДО ВЭ</t>
  </si>
  <si>
    <t>35% ДЛЯ ФАВОНИЯ. 65% ДЛЯ СВОЕГО УРОНА</t>
  </si>
  <si>
    <t>ОНА САМА СЕБЕ УЖЕ МНОГО СА ДАЁТ!</t>
  </si>
  <si>
    <t>МС НЕ РЕШАЕТ! 50 - в 🔥⚡️</t>
  </si>
  <si>
    <t>УЛЬТ НАЖИМАЕМ ПО ЖЕЛАНИЮ!</t>
  </si>
  <si>
    <t>ХП НУЖНЫ ДЛЯ БАФФА, НО ПРЯМ 40к НЕ ВСЕГДА НАДО!</t>
  </si>
  <si>
    <t>ШК НАБИРАЕМ ЛЕГКО С ОХОТНИКА</t>
  </si>
  <si>
    <t>КУ З СИГНЫ. ВСЁ ПРОСТО!</t>
  </si>
  <si>
    <t>СА ДАЁТ ОЧЕНЬ МНОГО! НАБИРАЕМ ДО ЛИМИТА!</t>
  </si>
  <si>
    <t>ВООБЩЕ ИГРАЕМ В МОНО🔥, НО БЫВАЕТ 250 - в 🔥💧\❄️</t>
  </si>
  <si>
    <t>ТАК КАК ЧАСТО ИГРАЕМ В МОНО🔥, ТО ПРОБЛЕМ НЕ БУДЕТ</t>
  </si>
  <si>
    <t>35% ДЛЯ ФАВОНИЯ, 90% ДЛЯ СВОЕГО УРОНА</t>
  </si>
  <si>
    <t>НА С0 СА ВСЕГДА ЛУЧШЕ ХП! А НА С1 РАВНЫ!</t>
  </si>
  <si>
    <t>0 - в 🔥⚡️ | 1000 - в ☘️💧🔥</t>
  </si>
  <si>
    <t>ХОТИТЕ УЛЬТ? МОНО🔥 + С4 + 160% = СТАБИЛЬНО!</t>
  </si>
  <si>
    <t>41к</t>
  </si>
  <si>
    <t>ХП ДО С1 МНОГО НЕ ДАЁТ! 41к ЭТО ПОДГОТОВКА К С1</t>
  </si>
  <si>
    <t>ПРОСТО 1к2, ВЕДЬ СВОЕГО УРОНА НЕТ!</t>
  </si>
  <si>
    <t>УРОНА НЕ ДАЁТ ТОЛКОМ! НО С ХОМОЙ 2000 МОЖНО</t>
  </si>
  <si>
    <t>НА САМОМ ДЕЛЕ С4 + КИТАИН И УЖЕ 160% ХВАТАЕТ!</t>
  </si>
  <si>
    <t>ЩИТ ОЧЕНЬ СЛАБО РАСТЁТ ОТ ХП! ПРО УРОН МОЛЧУ...</t>
  </si>
  <si>
    <t>СА НАБРАТЬ ТЯЖКО. ИМЕННО МНОГО!</t>
  </si>
  <si>
    <t>УЛЬТЫ ПОЛЕЗНЫЙ! НО МНОГИЕ ЕГО НЕ ЖМУТ...</t>
  </si>
  <si>
    <t>МОЖНО ШК С ОХОТНИКА ВЗЯТЬ ПОД ФУРИНОЙ!</t>
  </si>
  <si>
    <t>КУ НАБРАТЬ СЛОЖНОВАТО... НО РЕАЛЬНО!</t>
  </si>
  <si>
    <t>НАБИРАЕМ СА, НО В МЕРУ! ОСТАЛЬНОЕ ТОЖЕ ВАЖНО!</t>
  </si>
  <si>
    <t>УЛЬТ РЕШАЕТ! ПОЭТОМУ НАБИРАЕМ 125%</t>
  </si>
  <si>
    <t>БЕЗ ЕШКИ! СА НЕ СОБИРАЕМ ПОНЯТНОЕ ДЕЛО!</t>
  </si>
  <si>
    <t>МОЖНО УЛЬ И НЕ НАЖИМАТЬ!</t>
  </si>
  <si>
    <t>ХП ДАЮТ МНОГО УРОНА!</t>
  </si>
  <si>
    <t>МЫ ТАК УЛЬТОЙ КРИТУЕМ. ТАК ЧТО ДАЖЕ 30% СПОРНО!</t>
  </si>
  <si>
    <t>УРОНА НЕТ. СМЫСЛА МАЛО СОБИРАТЬ...</t>
  </si>
  <si>
    <t>УЛЬТ НАДО! 180% С ГОЛОВОЙ!</t>
  </si>
  <si>
    <t>СВОЕГО УРОНА НЕТ, ЗАЩИТА ЧИСТО ДЛЯ ЩИТА</t>
  </si>
  <si>
    <t>УЛЬТ ВСЕГДА НУЖЕН! ПОЭТОМУ 125% НАДО!</t>
  </si>
  <si>
    <t>ОЧЕНЬ МНОГО ИСТОЧНИКОВ СА. НО УРОН НЕТ...</t>
  </si>
  <si>
    <t>ЧТО ЕСТЬ МС, ЧТО НЕТ. УРОН ОДИНАКОВО МАЛ!</t>
  </si>
  <si>
    <t>ВЭ МНОГО НЕ НАДО, УЛЬТ И ТАК БУДЕТ!</t>
  </si>
  <si>
    <t>ШК ЕЩЁ КАК-ТО С УЛОВА МОЖНО ВЗЯТЬ</t>
  </si>
  <si>
    <t>А ОТ КУ ВООБЩЕ НЕТ ИСТОЧНИКОВ. ПОЭТОМУ ТЯЖКО</t>
  </si>
  <si>
    <t>СА ДАЁТ МНОГО! ЧАЩЕ ДАЖЕ БОЛЬШЕ МС!</t>
  </si>
  <si>
    <t>100 - ЭТО МИНИМАЛКА | 300 - в 🔥❄️\💧 | 1000 - в ☘️💧🔥</t>
  </si>
  <si>
    <t>УЛЬТ НАДО! БЕЗ ВЭ НИКАК!</t>
  </si>
  <si>
    <t>УРОНА НЕТ, НО ЧУТЬ-ЧУТЬ СОБРАТЬ МОЖНО</t>
  </si>
  <si>
    <t>СА НАМ НЕ НАДО. БАЗОВАЯ ВАЖНА! 865 \ 805 \ 646</t>
  </si>
  <si>
    <t>В ЦЕЛОМ МС НЕ НАДО! 250 - в ☘️💧🔥</t>
  </si>
  <si>
    <t>УЛЬТ - БАЗА! НАЖАТЬ НА 100%</t>
  </si>
  <si>
    <t>ЛЕЧЕНИЕ ЛУЧШЕ! ХП НЕ ОБЬЯЗАТЕЛЬНО!</t>
  </si>
  <si>
    <t>ШК НУЖНО МНОГО! ДАМАГ У ЕГО ЕСТЬ И ЕЩЁ КАКОЙ!</t>
  </si>
  <si>
    <t>КУ НА САМОМ ДЕЛЕ СЛОЖНО НАБРАТЬ, НО В ЦЕЛОМ РЕАЛЬНО!</t>
  </si>
  <si>
    <t>2500+</t>
  </si>
  <si>
    <t>2500 МИНИМАЛКА ДЛЯ П2. НО И БОЛЬШЕ МОЖНО!</t>
  </si>
  <si>
    <t>В ФОРМЕ ТЬМЫ, 3\200 МС БУДЕТ ОЧЕНЬ МНОГО ДАВАТЬ!</t>
  </si>
  <si>
    <t>УЛЬТ НАДО НАЖАТЬ! ДАЖЕ 33Е НЕ ВСЕГДА СПАСАЮТ!</t>
  </si>
  <si>
    <t>ЭТО ВМЕСТЕ З СЕТОМ АРТОВ</t>
  </si>
  <si>
    <t>НА САМОМ ДЕЛЕ НАБРАТЬ КУ ЛЕГКО!</t>
  </si>
  <si>
    <t>3100 БЕЗ ВНЕШНИХ БАФФОВ!</t>
  </si>
  <si>
    <t>100 МОЖНО ЧИСТО ДЛЯ 🔥☘️ или ☘️⚡️</t>
  </si>
  <si>
    <t>130% КОГДА КИНИЧ 1 ДЕНДРО В КОМАНДЕ</t>
  </si>
  <si>
    <t>ШК КАК ВСЕГДА КУЧА УРОНА</t>
  </si>
  <si>
    <t>СА ОЧЕНЬ ЛЕГКО НАБРАТЬ, ВЕДЬ ПИРО РЕЗОН.</t>
  </si>
  <si>
    <t>100 МОЖНО ЧИСТО ДЛЯ 🔥☘️</t>
  </si>
  <si>
    <t>УЛЬТУ МОЖНО ЧЕРЕЗ РАЗ НАЖИМАТЬ! ПОЭТОМУ 130%</t>
  </si>
  <si>
    <t>35% ДЛЯ ФАВОНИЯ, 50% ДЛЯ СВОЕГО УРОНА</t>
  </si>
  <si>
    <t>УРОН НЕМНОГО ЕСТЬ</t>
  </si>
  <si>
    <t>УРОН ТИПА РАСТЁТ, НО ЛУЧШЕ ХП</t>
  </si>
  <si>
    <t>НЕТ ПАЧЕК, ГДЕ У НАС БУДЕТ 0 МС</t>
  </si>
  <si>
    <t>УЛЬТ НАЖИМАТЬ НЕ ОБЬЯЗАТЕЛЬНО! НО ПОЧЕМУ НЕТ</t>
  </si>
  <si>
    <t>ХП НУЖНО ПО МАКСИМУМ!</t>
  </si>
  <si>
    <t>СВОЕГО УРОНА ПОЧТИ НЕТ, КАК ДЛЯ ДД...</t>
  </si>
  <si>
    <t>ПОЭТОМУ КМ НАБИРАЕМ НЕ МНОГО</t>
  </si>
  <si>
    <t>2300 - ЭТО ВОЛЧЬЯ ПОГИБЕЛЬ. В СРЕДНЕМ 2000</t>
  </si>
  <si>
    <t>МС КАК БЫ НАДО, НО. БУТОНОВ ПОЧТИ НЕ ДЕЛАЕМ</t>
  </si>
  <si>
    <t>УЛЬТ НАДО! А БЕЗ ВЭ НИКАК...</t>
  </si>
  <si>
    <t>УРОНА НЕТ ВООБЩЕ!</t>
  </si>
  <si>
    <t>СА НЕ НАДО... УРОН НЕ НУЖЕН!</t>
  </si>
  <si>
    <t>МС НЕ НАДО, 200 - ЭТО В ☘️💧</t>
  </si>
  <si>
    <t>КАК БЫ 50к НАДО! НО НАМ НЕ ВСЕГДА НАДО БАФФ</t>
  </si>
  <si>
    <t>35% ДЛЯ ФАВОНИЯ, 60% - ИГРАЯ В СТУМЯЛИЦИИ КАК ДД</t>
  </si>
  <si>
    <t>1700 - ЭТО СИГНА ЭСКОФЬЕ | В СРЕДНЕМ 1500</t>
  </si>
  <si>
    <t>50 - в ☘️💧⚡️ | 300 - в ☘️⚡️| 900 - в ☘️💧</t>
  </si>
  <si>
    <t>МОЖНО УЛЬТ НЕ НАЖИМАТЬ</t>
  </si>
  <si>
    <t>ХП НИЧЕГО КРОМЕ ХИЛЛА НЕ ДАЁТ</t>
  </si>
  <si>
    <t>ШК НАБРАТЬ ЛЕГКО И УРОНА ДАЁТ КУЧА!</t>
  </si>
  <si>
    <t>А ОТ КУ КОНЕЧНО ЗАДАЧА СЛОЖНАЯ...</t>
  </si>
  <si>
    <t>СА ДАЁТ УРОН, НО ЛУЧШЕ МС</t>
  </si>
  <si>
    <t>БЕЗ БАФФА НАХИДЫ! 400 - В ЛЮБОЙ РЕАКЦИИ!</t>
  </si>
  <si>
    <t>МОЖНО И БЕЗ УЛЬТЫ! НО С НЕЙ ЛУЧШЕ</t>
  </si>
  <si>
    <t>НЕ ЗАБЫВАЕМ ПРО П2. И ЧТО ВЕСЬ УРОН В ЕШКЕ</t>
  </si>
  <si>
    <t>УРОН ДАЁТ, НО МС ВАЖНЕЙ!</t>
  </si>
  <si>
    <t>900 - ЭТО БАЗА! НИЖЕ НИ ПРИ КАКИХ!</t>
  </si>
  <si>
    <t>С 1 ГИДРО\ДЕНДРО, УЖЕ КУПОЛ ПО КД</t>
  </si>
  <si>
    <t>40% ДЛЯ ФАВОНИЯ. 60% - ТИПА ДЛЯ УРОНА</t>
  </si>
  <si>
    <t>СА НАБРАТЬ ЛЕГКО ИЗ-ЗА ВОЗВЫШЕНИЯ!</t>
  </si>
  <si>
    <t>В ЦЕЛОМ МС ОСОБО НЕ НАДО. 300 - ЭТО С ЭЛИГЕЙ</t>
  </si>
  <si>
    <t>У НАС ТОЛЬКО ПУШКИ НА ВЭ, ТАК ЧТО ИЗИ НАБРАТЬ</t>
  </si>
  <si>
    <t>1800 ЭТО С АМОСОМ. ТАК-ТО СМЫСЛА МАЛО...</t>
  </si>
  <si>
    <t>УЛЬТ ЖМЁМ! ВЭ ХОТЯ БЫ 110% ТОЧНО НАДО!</t>
  </si>
  <si>
    <t>ДЕНДРО - ГГ☘️</t>
  </si>
  <si>
    <t>50% ДЛЯ ФАВОНИЯ</t>
  </si>
  <si>
    <t>УРОН КАК БЫ ЕСТЬ! ПОЭТОМУ НАБИРАЙТЕ КУ</t>
  </si>
  <si>
    <t>КАК ВСЕГДА СА ХУЖЕ МС</t>
  </si>
  <si>
    <t>МС ПРОСТО ЛУЧШЕ СА ИЗ-ЗА П2</t>
  </si>
  <si>
    <t>УЛЬТ ДОРОГОЙ, НАБРАТЬ ТЯЖКО...</t>
  </si>
  <si>
    <t>33% ДЛЯ ФАВОНИЯ / 50% ДЛЯ УРОНА</t>
  </si>
  <si>
    <t>СА ПОЧТИ НИЧЕГО НЕ ДАЁТ</t>
  </si>
  <si>
    <t>МС ДАЁТ НАМ ВСЁ!</t>
  </si>
  <si>
    <t>УЛЬТ НАБРАТЬ НЕ ТАК ЛЕГКО, КАК КАЖЕТСЯ!</t>
  </si>
  <si>
    <t>КШ НАБИРАЕТСЯ ЛЕГКО, ОСОБЕНО ПОД ЛАУМОЙ!</t>
  </si>
  <si>
    <t>КУ ОЧЕНЬ МНОГО, ТАК КАК СИГНА ДАЁТ КУЧА КУ</t>
  </si>
  <si>
    <t xml:space="preserve"> НИЧЕГО НЕ ДАЁТ ТОЛКОМ!</t>
  </si>
  <si>
    <t>МС МАЛО НЕ БЫВАЕТ! 1000 МС ЭТО ЧИСТОГО!</t>
  </si>
  <si>
    <t>УЛЬТ МОЖНО И НЕ НАЖИМАТЬ</t>
  </si>
  <si>
    <t>АРТ</t>
  </si>
  <si>
    <t>НАЗВАНИЕ</t>
  </si>
  <si>
    <t>СИЛА АРТА</t>
  </si>
  <si>
    <t>1№</t>
  </si>
  <si>
    <t>2№</t>
  </si>
  <si>
    <t>3№</t>
  </si>
  <si>
    <t>СЕРЕНАДА</t>
  </si>
  <si>
    <t>∞</t>
  </si>
  <si>
    <t>СВИТОК</t>
  </si>
  <si>
    <t>ТЕНЬ</t>
  </si>
  <si>
    <t>НЕБО</t>
  </si>
  <si>
    <t>НОЧЬ</t>
  </si>
  <si>
    <t>ИНСТРУКТОР</t>
  </si>
  <si>
    <t>АРХАИК</t>
  </si>
  <si>
    <t>ФОЛИАНТ</t>
  </si>
  <si>
    <t>ФИНАЛ</t>
  </si>
  <si>
    <t>МИЛЛЕЛИТ</t>
  </si>
  <si>
    <t>ФРАГМЕНТ</t>
  </si>
  <si>
    <t>ЦЕРЕМОНИЯ</t>
  </si>
  <si>
    <t>ТРУППА</t>
  </si>
  <si>
    <t>ВУРУКАШ</t>
  </si>
  <si>
    <t>РЫЦАРЬ</t>
  </si>
  <si>
    <t>ОХОТНИК</t>
  </si>
  <si>
    <t>ЭМБЛЕМА</t>
  </si>
  <si>
    <t>ГРЁЗЫ</t>
  </si>
  <si>
    <t>СИМЭНАВА</t>
  </si>
  <si>
    <t>ШЁПОТ</t>
  </si>
  <si>
    <t>КОКОН</t>
  </si>
  <si>
    <t>ДРЕМУЧКА</t>
  </si>
  <si>
    <t>КИНОВАРА</t>
  </si>
  <si>
    <t>СНЫ</t>
  </si>
  <si>
    <t>РАЙ</t>
  </si>
  <si>
    <t>МЕТЕЛЬ</t>
  </si>
  <si>
    <t>НИМФА</t>
  </si>
  <si>
    <t>ВРЕМЕНА</t>
  </si>
  <si>
    <t>МОЛЛЮСК</t>
  </si>
  <si>
    <t>БЛЕДНЫЙ</t>
  </si>
  <si>
    <t>ПОДНОШЕНИЕ</t>
  </si>
  <si>
    <t>АНСАМБЛЬ</t>
  </si>
  <si>
    <t>ХРОНИКИ</t>
  </si>
  <si>
    <t>ГЛАДИАТОР</t>
  </si>
  <si>
    <t>КОМЕТА</t>
  </si>
  <si>
    <t>ИЗГНАННИК</t>
  </si>
  <si>
    <t>ВЕДЬМА</t>
  </si>
  <si>
    <t>ГРОМ</t>
  </si>
  <si>
    <t>ЛАВА</t>
  </si>
  <si>
    <t>РЁВ</t>
  </si>
  <si>
    <t>ГЛУБИНЫ</t>
  </si>
  <si>
    <t>ДЕВА</t>
  </si>
  <si>
    <t>ПОЛЬЗА</t>
  </si>
  <si>
    <t>ИТОГ</t>
  </si>
  <si>
    <t>ГЛАВНЫЙ ПЕРСОНАЖ😁</t>
  </si>
  <si>
    <t>ПАЧКА👥</t>
  </si>
  <si>
    <t>ОТРЯД 1</t>
  </si>
  <si>
    <t>ОРУЖИЕ🪓</t>
  </si>
  <si>
    <t>КАМНЕРУБ</t>
  </si>
  <si>
    <t>УРОН ЗА РОТАЦИЮ🎯</t>
  </si>
  <si>
    <t>ИТТО</t>
  </si>
  <si>
    <t>ГОРО</t>
  </si>
  <si>
    <t>БАЗОВАЯ АТАКА🔪</t>
  </si>
  <si>
    <t>РП1</t>
  </si>
  <si>
    <t>ГЕО</t>
  </si>
  <si>
    <t>ИТОГОВЫЙ УРОН:</t>
  </si>
  <si>
    <t>СТРЕЛОК</t>
  </si>
  <si>
    <t>МЕЙН. СТАТ:</t>
  </si>
  <si>
    <t>КУ%</t>
  </si>
  <si>
    <t>ТИП УДАРА</t>
  </si>
  <si>
    <t>ВКЛАД</t>
  </si>
  <si>
    <t>СИЛА АТАК.🔪</t>
  </si>
  <si>
    <t>КРИТ. УРОН🍖</t>
  </si>
  <si>
    <t>ДВУРУК</t>
  </si>
  <si>
    <t>АЛЬБЕДО</t>
  </si>
  <si>
    <t>ОБЫЧНЫЕ УДАРЫ</t>
  </si>
  <si>
    <t>ЗДОРОВЬЕ💚</t>
  </si>
  <si>
    <t>КРИТ. ШАНС🦴</t>
  </si>
  <si>
    <t>ЗАРЯЖЕННЫЕ УДАРЫ</t>
  </si>
  <si>
    <t>ЗАЩИТА🧡</t>
  </si>
  <si>
    <t>ВОСТ. ЭНЕРГ.💡</t>
  </si>
  <si>
    <t>ОДНОРУК</t>
  </si>
  <si>
    <t>ПРЫЖКИ</t>
  </si>
  <si>
    <t>АФ.ФИЗ⚔️</t>
  </si>
  <si>
    <t>АКТИВНЫЕ ПАССИВКИ:</t>
  </si>
  <si>
    <t>ЕШКА</t>
  </si>
  <si>
    <t>ЕШКА%</t>
  </si>
  <si>
    <t>ЭЛЕМЕНТАЛЬНЫЕ РЕЗОНАНСЫ</t>
  </si>
  <si>
    <t>ДУРИН</t>
  </si>
  <si>
    <t>УЛЬТА</t>
  </si>
  <si>
    <t>УЛЬТА%</t>
  </si>
  <si>
    <t>ПИРО🔥</t>
  </si>
  <si>
    <t>ПИРО</t>
  </si>
  <si>
    <t>УНИКАЛЬНЫЕ УДАРЫ</t>
  </si>
  <si>
    <t>ОБ. УДАРЫ%</t>
  </si>
  <si>
    <t>ГИДРО💧</t>
  </si>
  <si>
    <t>РЕАКЦИИ 2го ПОРЯДКА</t>
  </si>
  <si>
    <t>ЗАР.УДАРЫ%</t>
  </si>
  <si>
    <t>КРИО❄️</t>
  </si>
  <si>
    <t>ПРОЧЕЕ</t>
  </si>
  <si>
    <t>ПРЫЖКИ%</t>
  </si>
  <si>
    <t>ГЕО💎</t>
  </si>
  <si>
    <t xml:space="preserve"> 🧡РОТАЦИЯ🧡</t>
  </si>
  <si>
    <t>АФ.УРОН%</t>
  </si>
  <si>
    <t>ДЕНДРО☘️</t>
  </si>
  <si>
    <t>НЕТ</t>
  </si>
  <si>
    <t>ЛЕЧЕНИЕ</t>
  </si>
  <si>
    <t>ФЛЭТ. ОБ.</t>
  </si>
  <si>
    <t>МАС. СТИХ.🌈</t>
  </si>
  <si>
    <t>ЛУН. РЕЗ.🌙</t>
  </si>
  <si>
    <t>ПИРО ПЕРС</t>
  </si>
  <si>
    <t>0</t>
  </si>
  <si>
    <t>УДАРЫ:</t>
  </si>
  <si>
    <t>УЧИТ.ШК</t>
  </si>
  <si>
    <t>КОЛИЧЕСТВО</t>
  </si>
  <si>
    <t>БАФФ</t>
  </si>
  <si>
    <t>СУММА</t>
  </si>
  <si>
    <t>ФЛЭТ. ЗАР.</t>
  </si>
  <si>
    <t>ВЕГ. \ ЦВЕТ.☘️</t>
  </si>
  <si>
    <t>ЩИТ</t>
  </si>
  <si>
    <t>ЛЕЧЕНИЕ%</t>
  </si>
  <si>
    <t>БУТОН☘️</t>
  </si>
  <si>
    <t>ПРОЧ.ЩИТА%</t>
  </si>
  <si>
    <t>ЛУН. ЗАРЯЖ⚡️</t>
  </si>
  <si>
    <t>ХАРАКТЕРИСТИКИ👑</t>
  </si>
  <si>
    <t>КУ ОБЫЧ. УД.</t>
  </si>
  <si>
    <t>ШК ОБЫЧ. УД.</t>
  </si>
  <si>
    <t>ЛУН. БУТОН☘️</t>
  </si>
  <si>
    <t>КУ ЗАР. УД.</t>
  </si>
  <si>
    <t>ШК ЗАР. УД</t>
  </si>
  <si>
    <t>ЗАРЯЖ⚡️</t>
  </si>
  <si>
    <t>УРОВЕНЬ 90</t>
  </si>
  <si>
    <t>КУ ЕШКА</t>
  </si>
  <si>
    <t>ШК. ЕШКА</t>
  </si>
  <si>
    <t>КУ УЛЬТА</t>
  </si>
  <si>
    <t>ШК. УЛЬТА</t>
  </si>
  <si>
    <t>БАЗОВАЯ  АТАКА🔪</t>
  </si>
  <si>
    <t>КУ ПРЫЖКИ</t>
  </si>
  <si>
    <t>ШК. ПРЫЖКИ</t>
  </si>
  <si>
    <t>ХП💚</t>
  </si>
  <si>
    <t>ЗЩ🧡</t>
  </si>
  <si>
    <t>ВОЗВЫШЕНИЕ:</t>
  </si>
  <si>
    <t>СЕТ АРТЕФАКТОВ🥇</t>
  </si>
  <si>
    <t>СИЛА АТАК. 🔪</t>
  </si>
  <si>
    <t>АФ.ПИРО🔥</t>
  </si>
  <si>
    <t>АФ.ГИДРО💧</t>
  </si>
  <si>
    <t>ПАР💧\🔥</t>
  </si>
  <si>
    <t>АФ.ЭЛЕКТРО⚡️</t>
  </si>
  <si>
    <t>ТАЯНИЕ🔥\❄️</t>
  </si>
  <si>
    <t>КРИТ. УРОН 🍖</t>
  </si>
  <si>
    <t>АФ.КРИО❄️</t>
  </si>
  <si>
    <t>СТИМУЛЯЦ⚡️</t>
  </si>
  <si>
    <t>АФ.ГЕО💎</t>
  </si>
  <si>
    <t>ФЛЭТ ОБ. УДАР</t>
  </si>
  <si>
    <t>МАСТ. СТИХ.🌈</t>
  </si>
  <si>
    <t>ВОСТ. ЭНЕРГ. 💡</t>
  </si>
  <si>
    <t>АФ.АНЕМО💨</t>
  </si>
  <si>
    <t>ЛУН.БУТОН☘️</t>
  </si>
  <si>
    <t>ЗДОРОВ. ОБ🔒</t>
  </si>
  <si>
    <t>СИЛ. АТК.ОБ.🔒</t>
  </si>
  <si>
    <t>АФ.ДЕНДРО☘️</t>
  </si>
  <si>
    <t>ВЕГЕТАЦИЯ☘️</t>
  </si>
  <si>
    <t>АФ.УРОНА%</t>
  </si>
  <si>
    <t>ЦВЕТЕНИЕ☘️</t>
  </si>
  <si>
    <t>ТАЛАНТЫ АКТИВАЦИЯ</t>
  </si>
  <si>
    <t>ЛУН.ЗАРЯЖ⚡️</t>
  </si>
  <si>
    <t>СТИХИЯ:</t>
  </si>
  <si>
    <t>ПЕРЕГРУЗ🔥</t>
  </si>
  <si>
    <t>ЭЛЕКТРО</t>
  </si>
  <si>
    <t>ЕШКА АКТИВАЦИЯ</t>
  </si>
  <si>
    <t>ГОРЕНИЕ.🔥</t>
  </si>
  <si>
    <t>РАССЕИ.💨</t>
  </si>
  <si>
    <t>ВЕРХНИЕ СТАТЫ</t>
  </si>
  <si>
    <t>УЛЬТА АКТИВАЦИЯ</t>
  </si>
  <si>
    <t>РАЗКОЛ⚔️</t>
  </si>
  <si>
    <t>СВЕРХ.ПРОВ.❄️</t>
  </si>
  <si>
    <t>ЧАСЫ:</t>
  </si>
  <si>
    <t>1я ПАССИВКА АКТИВ.</t>
  </si>
  <si>
    <t>ЗЩ%</t>
  </si>
  <si>
    <t>2я ПАССИВКА АКТИВ.</t>
  </si>
  <si>
    <t>КУБОК:</t>
  </si>
  <si>
    <t>АФ.ГЕО%</t>
  </si>
  <si>
    <t>☘️РЕАКЦИИ☘️</t>
  </si>
  <si>
    <t>КРИТ МАССА:</t>
  </si>
  <si>
    <t>КОРОНА:</t>
  </si>
  <si>
    <t>ШК%</t>
  </si>
  <si>
    <t>НИЖНИЕ АРТЫ ФИКС.🔒 45 РОЛЛ</t>
  </si>
  <si>
    <t>ЛУН.КРИСТАЛЛ</t>
  </si>
  <si>
    <t>ЛУН.КРИСТ 1\2</t>
  </si>
  <si>
    <t>15,80</t>
  </si>
  <si>
    <t>104,90</t>
  </si>
  <si>
    <t>ОБНОВИТЬ
ВЕРХНИЕ</t>
  </si>
  <si>
    <t>БЕННЕТ С6</t>
  </si>
  <si>
    <t>ЛУН.КРИСТ 1\12</t>
  </si>
  <si>
    <t>20,40</t>
  </si>
  <si>
    <t>26,50</t>
  </si>
  <si>
    <t>ФУРИНА</t>
  </si>
  <si>
    <t>БУТОН</t>
  </si>
  <si>
    <t>25,30</t>
  </si>
  <si>
    <t>ОБНОВИТЬ
АРТЕФАКТЫ</t>
  </si>
  <si>
    <t>ЛАУМА</t>
  </si>
  <si>
    <t>ВЕГЕТАЦИЯ</t>
  </si>
  <si>
    <t>ЗДОРОВЬЕ ОБ.</t>
  </si>
  <si>
    <t>СИЛА АТАК. ОБ.</t>
  </si>
  <si>
    <t>⚙️СВОБОДНЫЙ БОНУС⚙️</t>
  </si>
  <si>
    <t>ИНЕФФА</t>
  </si>
  <si>
    <t>ЦВЕТЕНИЕ</t>
  </si>
  <si>
    <t>ЗАЩИТА ОБ.</t>
  </si>
  <si>
    <t>ОБНОВИТЬ
ОРУЖИЕ</t>
  </si>
  <si>
    <t>ШИЛОНЕН</t>
  </si>
  <si>
    <t>ЗАРЯЖ - 1 ТИК</t>
  </si>
  <si>
    <t>СИТЛАЛИ</t>
  </si>
  <si>
    <t>ЛУН.ЗАРЯЖ</t>
  </si>
  <si>
    <t>ПОДБОР ОРУЖИЯ \ СЕТОВ⚖️</t>
  </si>
  <si>
    <t>ВЕРХНИЕ</t>
  </si>
  <si>
    <t>АЙНО С6</t>
  </si>
  <si>
    <t>ЛУН.ЗАРЯЖ \2</t>
  </si>
  <si>
    <t>ЭСКОФЬЕ</t>
  </si>
  <si>
    <t>ЛУН.ЗАРЯЖ \12</t>
  </si>
  <si>
    <t>СРАВНЕНИЕ</t>
  </si>
  <si>
    <t>СЕТ АРТОВ</t>
  </si>
  <si>
    <t>ВЕРХНИЕ АРТОВ</t>
  </si>
  <si>
    <t>ИАНСАН С6</t>
  </si>
  <si>
    <t>ПЕРЕГРУЗ</t>
  </si>
  <si>
    <t>МАВУИКА</t>
  </si>
  <si>
    <t>ГОРЕНИЕ - 1 ТИК</t>
  </si>
  <si>
    <t>СИДЖВИН</t>
  </si>
  <si>
    <t>РАССЕИВ - 1</t>
  </si>
  <si>
    <t>ФЛЭТ.ЗАР.</t>
  </si>
  <si>
    <t>СЯНЬ ЮНЬ</t>
  </si>
  <si>
    <t>РАССЕИВ - 2</t>
  </si>
  <si>
    <t>ФЛЭТ.ПРЫЖ.</t>
  </si>
  <si>
    <t>ШЕВРЁЗ С6</t>
  </si>
  <si>
    <t>РАСКОЛ</t>
  </si>
  <si>
    <t>ФЛЭТ.ЕШКА</t>
  </si>
  <si>
    <t>НАХИДА</t>
  </si>
  <si>
    <t>СВЕРХ.ПРОВОД.</t>
  </si>
  <si>
    <t>ФЛЭТ. УЛЬТ</t>
  </si>
  <si>
    <t>НИЛУ</t>
  </si>
  <si>
    <t>КРИСТАЛЛ</t>
  </si>
  <si>
    <t>ФЛЭТ. УРОН</t>
  </si>
  <si>
    <t>ФАРУЗАН С6</t>
  </si>
  <si>
    <t>БАФ ЛУН. ЗАР.</t>
  </si>
  <si>
    <r>
      <rPr>
        <rFont val="Oswald"/>
        <b/>
        <color theme="1"/>
        <sz val="11.0"/>
      </rPr>
      <t xml:space="preserve">ИНЕФФА </t>
    </r>
    <r>
      <rPr>
        <rFont val="Oswald"/>
        <b/>
        <color rgb="FFFF0000"/>
        <sz val="11.0"/>
      </rPr>
      <t>СА</t>
    </r>
  </si>
  <si>
    <r>
      <rPr>
        <rFont val="Oswald"/>
        <b/>
        <color theme="1"/>
        <sz val="11.0"/>
      </rPr>
      <t xml:space="preserve">ФЛИНС </t>
    </r>
    <r>
      <rPr>
        <rFont val="Oswald"/>
        <b/>
        <color rgb="FFFF0000"/>
        <sz val="11.0"/>
      </rPr>
      <t>СА</t>
    </r>
  </si>
  <si>
    <t>Е ЛАНЬ</t>
  </si>
  <si>
    <t>БАФ ЛУН. БУТ.</t>
  </si>
  <si>
    <r>
      <rPr>
        <rFont val="Oswald"/>
        <b/>
        <color theme="1"/>
        <sz val="11.0"/>
      </rPr>
      <t xml:space="preserve">ЛАУМА </t>
    </r>
    <r>
      <rPr>
        <rFont val="Oswald"/>
        <b/>
        <color rgb="FF38761D"/>
        <sz val="11.0"/>
      </rPr>
      <t>МС</t>
    </r>
  </si>
  <si>
    <r>
      <rPr>
        <rFont val="Oswald"/>
        <b/>
        <color theme="1"/>
        <sz val="11.0"/>
      </rPr>
      <t xml:space="preserve">НЕФЕР </t>
    </r>
    <r>
      <rPr>
        <rFont val="Oswald"/>
        <b/>
        <color rgb="FF38761D"/>
        <sz val="11.0"/>
      </rPr>
      <t>МС</t>
    </r>
  </si>
  <si>
    <t>ШЭНЬ ХЭ</t>
  </si>
  <si>
    <t>БАФ ЛУН. КРИ.</t>
  </si>
  <si>
    <r>
      <rPr>
        <rFont val="Oswald"/>
        <b/>
        <color theme="1"/>
        <sz val="11.0"/>
      </rPr>
      <t xml:space="preserve">ЗИ БАЙ </t>
    </r>
    <r>
      <rPr>
        <rFont val="Oswald"/>
        <b/>
        <color rgb="FFE69138"/>
        <sz val="11.0"/>
      </rPr>
      <t>ЗЩ</t>
    </r>
  </si>
  <si>
    <r>
      <rPr>
        <rFont val="Oswald"/>
        <b/>
        <color theme="1"/>
        <sz val="11.0"/>
      </rPr>
      <t xml:space="preserve">КОЛОМБИНА </t>
    </r>
    <r>
      <rPr>
        <rFont val="Oswald"/>
        <b/>
        <color rgb="FF0000FF"/>
        <sz val="11.0"/>
      </rPr>
      <t>ХП</t>
    </r>
  </si>
  <si>
    <t>БАФФЫ ОРУЖИЯ \ АРТОВ ОТ ПАЧКИ</t>
  </si>
  <si>
    <t>КАДЗУХА</t>
  </si>
  <si>
    <t>⭐️ИТОГОВЫЕ ЦИФРЫ⭐️</t>
  </si>
  <si>
    <t>АРТЕФАКТ</t>
  </si>
  <si>
    <t>ЧЖУН ЛИ</t>
  </si>
  <si>
    <t>БАЗОВАЯ АТК.</t>
  </si>
  <si>
    <t>ЭЛЕГИЯ ПОГ.</t>
  </si>
  <si>
    <t>КЛИЧ ЖУР.</t>
  </si>
  <si>
    <t>ОБ. СИЛА АТК.</t>
  </si>
  <si>
    <t>ЭПОС Р5</t>
  </si>
  <si>
    <t>АКВАМАР. Р5</t>
  </si>
  <si>
    <t>СВИТКИ</t>
  </si>
  <si>
    <t>НЕ АКТИВ</t>
  </si>
  <si>
    <t>👹ПРОТИВНИК👹</t>
  </si>
  <si>
    <t>ГОРО С6</t>
  </si>
  <si>
    <t>СТИМУЛ⚡️</t>
  </si>
  <si>
    <t>ВОЛ. ПОГИБ.</t>
  </si>
  <si>
    <t>ЦЕРЕМОН.</t>
  </si>
  <si>
    <t>СЯН ЛИН</t>
  </si>
  <si>
    <t>КЛЯТВА</t>
  </si>
  <si>
    <t>КЛЮЧ</t>
  </si>
  <si>
    <t>УРОВЕНЬ</t>
  </si>
  <si>
    <t>ЗАЩИТА🔒</t>
  </si>
  <si>
    <t>ЮНЬ ЦЗИ. С6</t>
  </si>
  <si>
    <t>КРИТ.ШАНС🦴</t>
  </si>
  <si>
    <t>ЛУН.БУТ☘️</t>
  </si>
  <si>
    <t>ХАКУСИН Р5</t>
  </si>
  <si>
    <t>ДРЕМУЧ. ЛЕС</t>
  </si>
  <si>
    <t>ИГНОР ЗЩ.%</t>
  </si>
  <si>
    <t>ПОРЕЗКА ЗЩ.%</t>
  </si>
  <si>
    <t>БАЙ ДЖУ</t>
  </si>
  <si>
    <t>ОБЩИ. ХП💚</t>
  </si>
  <si>
    <t>СНОВИДЕНИЕ</t>
  </si>
  <si>
    <t>КСИФОСА Р5</t>
  </si>
  <si>
    <t>АРХАИЧНЫЙ</t>
  </si>
  <si>
    <t>ДЕФ. МУЛЬТ🔒</t>
  </si>
  <si>
    <t>САХАРОЗА С6</t>
  </si>
  <si>
    <t>ОБЩА. ЗЩ.🧡</t>
  </si>
  <si>
    <t>ЗВЕЗДА 5*</t>
  </si>
  <si>
    <t>ВЭ💡</t>
  </si>
  <si>
    <t>СИМФОНИСТ</t>
  </si>
  <si>
    <t>ЗВЕЗДА 4* Р5</t>
  </si>
  <si>
    <t>СЕРЕНАДЫ</t>
  </si>
  <si>
    <t>АНЕМО💨</t>
  </si>
  <si>
    <t>Б. ЛЕЧЕНИЕ%</t>
  </si>
  <si>
    <t>ФЛЭТ. ОБ. УД.</t>
  </si>
  <si>
    <t>ЛУН.ЗАР⚡️</t>
  </si>
  <si>
    <t>ПЕСНЬ ПИКОВ</t>
  </si>
  <si>
    <t>ЭЛЕКТРО⚡️</t>
  </si>
  <si>
    <t>П. ЛЕЧЕНИЕ%</t>
  </si>
  <si>
    <t>ФЛЭТ. ЗР. УД.</t>
  </si>
  <si>
    <t>ОРЕОЛ</t>
  </si>
  <si>
    <t>АРТИС</t>
  </si>
  <si>
    <t>ФИЗ.⚔️</t>
  </si>
  <si>
    <t>ФЛЭТ. ПРЫЖ.</t>
  </si>
  <si>
    <t>ЗЕРКАЛО НОЧИ</t>
  </si>
  <si>
    <t>РЕГАЛИЯ Л. Р5</t>
  </si>
  <si>
    <t>ИГРОВОЙ РЕЗИСТ:</t>
  </si>
  <si>
    <t>ФЛЭТ. УРОНА</t>
  </si>
  <si>
    <t>СВ.ПРОВ.❄️</t>
  </si>
  <si>
    <t>АФ. УРОНА</t>
  </si>
  <si>
    <t>ЛУН. РЕАКТ?</t>
  </si>
  <si>
    <t>АКТИВАЦИЯ СВЕРХ. ПРОВОДНИКА❄️\⚡️</t>
  </si>
  <si>
    <t>☘️ИТОГОВАЯ РЕАКЦИЯ☘️</t>
  </si>
  <si>
    <t>💥ИТОГОВЫЕ ТАЛАНТЫ💥</t>
  </si>
  <si>
    <t>ТАЛАНТЫ🧠</t>
  </si>
  <si>
    <t>БЕЗ КРИТ.</t>
  </si>
  <si>
    <t>КРИТ.</t>
  </si>
  <si>
    <t>МНОЖИТЕЛЬ</t>
  </si>
  <si>
    <t>УДАР</t>
  </si>
  <si>
    <t>СКЕЙЛ%</t>
  </si>
  <si>
    <t>1й СКЕЙЛ%</t>
  </si>
  <si>
    <t>2й СКЕЙЛ%</t>
  </si>
  <si>
    <t>ТАЛАНТ</t>
  </si>
  <si>
    <t>ПАР</t>
  </si>
  <si>
    <t>💧\🔥</t>
  </si>
  <si>
    <t>ОБ. УДАРЫ</t>
  </si>
  <si>
    <t>10 ЛВЛ</t>
  </si>
  <si>
    <t>ОБРАТНЫЙ ПАР</t>
  </si>
  <si>
    <t>🔥\💧</t>
  </si>
  <si>
    <t>ТАЯНИЕ</t>
  </si>
  <si>
    <t>🔥\❄️</t>
  </si>
  <si>
    <t>ОБРАТНОЕ ТАЯНИЕ</t>
  </si>
  <si>
    <t>❄️\🔥</t>
  </si>
  <si>
    <t>ОБОСТРЕНИЕ</t>
  </si>
  <si>
    <t>ЗАР. УДАРЫ</t>
  </si>
  <si>
    <t>РАЗРАСТАНИЕ</t>
  </si>
  <si>
    <t>СА+ЗЩ</t>
  </si>
  <si>
    <t>ЛУН.КРИСТАЛЛИЗАЦИЯ</t>
  </si>
  <si>
    <t>ЛУН.КРИСТАЛЛИЗАЦИЯ \2</t>
  </si>
  <si>
    <t>ЛУН.КРИСТАЛЛИЗАЦИЯ \12</t>
  </si>
  <si>
    <t>УНИК. УДАР</t>
  </si>
  <si>
    <t>ЗАРЯЖЕН - 1 ТИК</t>
  </si>
  <si>
    <t>ЛУН.ЗАРЯЖЕН</t>
  </si>
  <si>
    <t>ЛУН.ЗАРЯЖЕН \2</t>
  </si>
  <si>
    <t>ЛУН.ЗАРЯЖЕН \12</t>
  </si>
  <si>
    <t>РАССЕИВАНИЕ 1</t>
  </si>
  <si>
    <t>💧ГИДРО</t>
  </si>
  <si>
    <t>РАССЕИВАНИЕ 2</t>
  </si>
  <si>
    <t>⚡️ЭЛЕКТРО</t>
  </si>
  <si>
    <t>⚔️</t>
  </si>
  <si>
    <t>СВЕРХ.ПРОВОДНИК</t>
  </si>
  <si>
    <t>КРИСТАЛЛИЗАЦИЯ</t>
  </si>
  <si>
    <t>🔥\❄️\⚡️\💧</t>
  </si>
  <si>
    <t>ФИЗУХА</t>
  </si>
  <si>
    <t>ЗНАЧЕНИЕ</t>
  </si>
  <si>
    <t>ВСЕГО</t>
  </si>
  <si>
    <t>САП НАВЫК:</t>
  </si>
  <si>
    <t>БАЗОВЫЙ</t>
  </si>
  <si>
    <t>ДРАКОНЬЯ КОСТЬ</t>
  </si>
  <si>
    <t>РЭЙЗОР</t>
  </si>
  <si>
    <t>ФИШЛЬ</t>
  </si>
  <si>
    <t>ДЕНДРО</t>
  </si>
  <si>
    <t>КАТАЛИК</t>
  </si>
  <si>
    <t>СИН ЦЮ</t>
  </si>
  <si>
    <t>ГИДРО</t>
  </si>
  <si>
    <t>ОБОСТР.</t>
  </si>
  <si>
    <t>РЁВ ЯРОСТИ</t>
  </si>
  <si>
    <t>СА%</t>
  </si>
  <si>
    <t>АФ.ЭЛЕКТРО%</t>
  </si>
  <si>
    <t>КЛЫК КОРОЛЯ</t>
  </si>
  <si>
    <t>665488-100%</t>
  </si>
  <si>
    <t>808352-100%</t>
  </si>
  <si>
    <t>СА/ЭЛЕКТРО/ШК</t>
  </si>
  <si>
    <t>675284-100%</t>
  </si>
  <si>
    <t>ВЕРДИКТ</t>
  </si>
  <si>
    <t>621374-93.4%</t>
  </si>
  <si>
    <t>795895-98.5%</t>
  </si>
  <si>
    <t>МС/ЭЛЕКТРО/ШК</t>
  </si>
  <si>
    <t>664458-98.4%</t>
  </si>
  <si>
    <t>МАЯК МОРЯ</t>
  </si>
  <si>
    <t>619436-93.1%</t>
  </si>
  <si>
    <t>716058-88.6%</t>
  </si>
  <si>
    <t>СА/СА/ШК</t>
  </si>
  <si>
    <t>657109-97.3%</t>
  </si>
  <si>
    <t>ТЫСЯЧА СОЛНЦ</t>
  </si>
  <si>
    <t>612617-92.1%</t>
  </si>
  <si>
    <t>706134-87.4%</t>
  </si>
  <si>
    <t>СА/ЭЛЕКТРО/КУ</t>
  </si>
  <si>
    <t>656713-97.2%</t>
  </si>
  <si>
    <t>610982-91.8%</t>
  </si>
  <si>
    <t>692313-85.6%</t>
  </si>
  <si>
    <t>СА/МС/ШК</t>
  </si>
  <si>
    <t>653379-96.8%</t>
  </si>
  <si>
    <t>КАМЕННЫЙ</t>
  </si>
  <si>
    <t>586665-88.2%</t>
  </si>
  <si>
    <t>НОЧЬ НЕБА</t>
  </si>
  <si>
    <t>684511-84.7%</t>
  </si>
  <si>
    <t>МС/ЭЛЕКТРО/КУ</t>
  </si>
  <si>
    <t>648000-96.0%</t>
  </si>
  <si>
    <t>584690-87.9%</t>
  </si>
  <si>
    <t>СВИТОК ГЕРОЯ</t>
  </si>
  <si>
    <t>676931-83.7%</t>
  </si>
  <si>
    <t>МС/МС/ШК</t>
  </si>
  <si>
    <t>641643-95.0%</t>
  </si>
  <si>
    <r>
      <rPr>
        <rFont val="Oswald"/>
        <b/>
        <color theme="1"/>
        <sz val="11.0"/>
      </rPr>
      <t xml:space="preserve">ИНЕФФА </t>
    </r>
    <r>
      <rPr>
        <rFont val="Oswald"/>
        <b/>
        <color rgb="FFFF0000"/>
        <sz val="11.0"/>
      </rPr>
      <t>СА</t>
    </r>
  </si>
  <si>
    <r>
      <rPr>
        <rFont val="Oswald"/>
        <b/>
        <color theme="1"/>
        <sz val="11.0"/>
      </rPr>
      <t xml:space="preserve">ФЛИНС </t>
    </r>
    <r>
      <rPr>
        <rFont val="Oswald"/>
        <b/>
        <color rgb="FFFF0000"/>
        <sz val="11.0"/>
      </rPr>
      <t>СА</t>
    </r>
  </si>
  <si>
    <t>ВОЛЧЬЯ ПОГИБЕЛЬ</t>
  </si>
  <si>
    <t>583341-87.7%</t>
  </si>
  <si>
    <t>ЦВЕТОК РАЯ</t>
  </si>
  <si>
    <t>676926-83.7%</t>
  </si>
  <si>
    <t>СА/СА/КУ</t>
  </si>
  <si>
    <t>639267-94.7%</t>
  </si>
  <si>
    <r>
      <rPr>
        <rFont val="Oswald"/>
        <b/>
        <color theme="1"/>
        <sz val="11.0"/>
      </rPr>
      <t xml:space="preserve">ЛАУМА </t>
    </r>
    <r>
      <rPr>
        <rFont val="Oswald"/>
        <b/>
        <color rgb="FF38761D"/>
        <sz val="11.0"/>
      </rPr>
      <t>МС</t>
    </r>
  </si>
  <si>
    <r>
      <rPr>
        <rFont val="Oswald"/>
        <b/>
        <color theme="1"/>
        <sz val="11.0"/>
      </rPr>
      <t xml:space="preserve">НЕФЕР </t>
    </r>
    <r>
      <rPr>
        <rFont val="Oswald"/>
        <b/>
        <color rgb="FF38761D"/>
        <sz val="11.0"/>
      </rPr>
      <t>МС</t>
    </r>
  </si>
  <si>
    <t>НЕКОВАНЫЙ</t>
  </si>
  <si>
    <t>674652-83.5%</t>
  </si>
  <si>
    <t>МС/СА/ШК</t>
  </si>
  <si>
    <t>637380-94.4%</t>
  </si>
  <si>
    <r>
      <rPr>
        <rFont val="Oswald"/>
        <b/>
        <color theme="1"/>
        <sz val="11.0"/>
      </rPr>
      <t xml:space="preserve">ЗИ БАЙ </t>
    </r>
    <r>
      <rPr>
        <rFont val="Oswald"/>
        <b/>
        <color rgb="FFE69138"/>
        <sz val="11.0"/>
      </rPr>
      <t>ЗЩ</t>
    </r>
  </si>
  <si>
    <r>
      <rPr>
        <rFont val="Oswald"/>
        <b/>
        <color theme="1"/>
        <sz val="11.0"/>
      </rPr>
      <t xml:space="preserve">КОЛОМБИНА </t>
    </r>
    <r>
      <rPr>
        <rFont val="Oswald"/>
        <b/>
        <color rgb="FF0000FF"/>
        <sz val="11.0"/>
      </rPr>
      <t>ХП</t>
    </r>
  </si>
  <si>
    <t>13 ЛВЛ</t>
  </si>
  <si>
    <t>НАДЗОР</t>
  </si>
  <si>
    <t>КЛИ</t>
  </si>
  <si>
    <t>ОБ.ПАР</t>
  </si>
  <si>
    <t>ОХОТНИК СУМРАЧ.</t>
  </si>
  <si>
    <t>АФ.ПИРО%</t>
  </si>
  <si>
    <t>439098-100%</t>
  </si>
  <si>
    <t>ОБСИД. ФОЛИАНТ</t>
  </si>
  <si>
    <t>462816-100%</t>
  </si>
  <si>
    <t>СА/ПИРО/КУ</t>
  </si>
  <si>
    <t>ШКАТУЛКА ИСТИН</t>
  </si>
  <si>
    <t>427454-97.3%</t>
  </si>
  <si>
    <t>439098-94.9%</t>
  </si>
  <si>
    <t>426512-97.1%</t>
  </si>
  <si>
    <t>МОЛИТВА ВЕТРАМ</t>
  </si>
  <si>
    <t>419643-95.6%</t>
  </si>
  <si>
    <t>433355-93.6%</t>
  </si>
  <si>
    <t>СА/СА/СА</t>
  </si>
  <si>
    <t>407678-92.8%</t>
  </si>
  <si>
    <t>ПАМЯТЬ О ПЫЛИ</t>
  </si>
  <si>
    <t>407634-92.8%</t>
  </si>
  <si>
    <t>432514-93.5%</t>
  </si>
  <si>
    <t>МС/ПИРО/КУ</t>
  </si>
  <si>
    <t>401683-91.5%</t>
  </si>
  <si>
    <t>БДЕНИЕ ЗВЁЗД</t>
  </si>
  <si>
    <t>390139-88.9%</t>
  </si>
  <si>
    <t>417457-90.2%</t>
  </si>
  <si>
    <t>СА/ПИРО/ШК</t>
  </si>
  <si>
    <t>380032-86.5%</t>
  </si>
  <si>
    <t>ЧАЯНИЯ</t>
  </si>
  <si>
    <t>381254-86.8%</t>
  </si>
  <si>
    <t>411381-88.9%</t>
  </si>
  <si>
    <t>369127-84.1%</t>
  </si>
  <si>
    <r>
      <rPr>
        <rFont val="Oswald"/>
        <b/>
        <color theme="1"/>
        <sz val="11.0"/>
      </rPr>
      <t xml:space="preserve">ИНЕФФА </t>
    </r>
    <r>
      <rPr>
        <rFont val="Oswald"/>
        <b/>
        <color rgb="FFFF0000"/>
        <sz val="11.0"/>
      </rPr>
      <t>СА</t>
    </r>
  </si>
  <si>
    <r>
      <rPr>
        <rFont val="Oswald"/>
        <b/>
        <color theme="1"/>
        <sz val="11.0"/>
      </rPr>
      <t xml:space="preserve">ФЛИНС </t>
    </r>
    <r>
      <rPr>
        <rFont val="Oswald"/>
        <b/>
        <color rgb="FFFF0000"/>
        <sz val="11.0"/>
      </rPr>
      <t>СА</t>
    </r>
  </si>
  <si>
    <t>СНОВИДЕНИЯ</t>
  </si>
  <si>
    <t>373291-85.0%</t>
  </si>
  <si>
    <t>404680-87.4%</t>
  </si>
  <si>
    <t>МС/ПИРО/ШК</t>
  </si>
  <si>
    <t>347651-79.2%</t>
  </si>
  <si>
    <r>
      <rPr>
        <rFont val="Oswald"/>
        <b/>
        <color theme="1"/>
        <sz val="11.0"/>
      </rPr>
      <t xml:space="preserve">ЛАУМА </t>
    </r>
    <r>
      <rPr>
        <rFont val="Oswald"/>
        <b/>
        <color rgb="FF38761D"/>
        <sz val="11.0"/>
      </rPr>
      <t>МС</t>
    </r>
  </si>
  <si>
    <r>
      <rPr>
        <rFont val="Oswald"/>
        <b/>
        <color theme="1"/>
        <sz val="11.0"/>
      </rPr>
      <t xml:space="preserve">НЕФЕР </t>
    </r>
    <r>
      <rPr>
        <rFont val="Oswald"/>
        <b/>
        <color rgb="FF38761D"/>
        <sz val="11.0"/>
      </rPr>
      <t>МС</t>
    </r>
  </si>
  <si>
    <t>НЕБЕСНЫЙ АТЛАС</t>
  </si>
  <si>
    <t>368692-84.0%</t>
  </si>
  <si>
    <t>383615-82.9%</t>
  </si>
  <si>
    <t>МС/МС/МС</t>
  </si>
  <si>
    <t>314870-71.7%</t>
  </si>
  <si>
    <r>
      <rPr>
        <rFont val="Oswald"/>
        <b/>
        <color theme="1"/>
        <sz val="11.0"/>
      </rPr>
      <t xml:space="preserve">ЗИ БАЙ </t>
    </r>
    <r>
      <rPr>
        <rFont val="Oswald"/>
        <b/>
        <color rgb="FFE69138"/>
        <sz val="11.0"/>
      </rPr>
      <t>ЗЩ</t>
    </r>
  </si>
  <si>
    <r>
      <rPr>
        <rFont val="Oswald"/>
        <b/>
        <color theme="1"/>
        <sz val="11.0"/>
      </rPr>
      <t xml:space="preserve">КОЛОМБИНА </t>
    </r>
    <r>
      <rPr>
        <rFont val="Oswald"/>
        <b/>
        <color rgb="FF0000FF"/>
        <sz val="11.0"/>
      </rPr>
      <t>ХП</t>
    </r>
  </si>
  <si>
    <t>ПЕСНЬ СТРАННИКА</t>
  </si>
  <si>
    <t>366559-83.5%</t>
  </si>
  <si>
    <t>АЛАЯ ВЕДЬМА</t>
  </si>
  <si>
    <t>368819-79.7%</t>
  </si>
  <si>
    <t>309090-70.4%</t>
  </si>
  <si>
    <t>ПРОТ. ЯНТАРЬ</t>
  </si>
  <si>
    <t>КОЛОМБИНА</t>
  </si>
  <si>
    <t>ИЛЛУГИ</t>
  </si>
  <si>
    <t>КОПЕЙЩИК</t>
  </si>
  <si>
    <t>ЦЗИ БАЙ</t>
  </si>
  <si>
    <t>ТИОРИ</t>
  </si>
  <si>
    <t>ГЕО ПЕРС</t>
  </si>
  <si>
    <t>2200</t>
  </si>
  <si>
    <t>ХП%</t>
  </si>
  <si>
    <r>
      <rPr>
        <rFont val="Oswald"/>
        <b/>
        <color theme="1"/>
        <sz val="11.0"/>
      </rPr>
      <t xml:space="preserve">ИНЕФФА </t>
    </r>
    <r>
      <rPr>
        <rFont val="Oswald"/>
        <b/>
        <color rgb="FFFF0000"/>
        <sz val="11.0"/>
      </rPr>
      <t>СА</t>
    </r>
  </si>
  <si>
    <t>3000</t>
  </si>
  <si>
    <r>
      <rPr>
        <rFont val="Oswald"/>
        <b/>
        <color theme="1"/>
        <sz val="11.0"/>
      </rPr>
      <t xml:space="preserve">ФЛИНС </t>
    </r>
    <r>
      <rPr>
        <rFont val="Oswald"/>
        <b/>
        <color rgb="FFFF0000"/>
        <sz val="11.0"/>
      </rPr>
      <t>СА</t>
    </r>
  </si>
  <si>
    <r>
      <rPr>
        <rFont val="Oswald"/>
        <b/>
        <color theme="1"/>
        <sz val="11.0"/>
      </rPr>
      <t xml:space="preserve">ЛАУМА </t>
    </r>
    <r>
      <rPr>
        <rFont val="Oswald"/>
        <b/>
        <color rgb="FF38761D"/>
        <sz val="11.0"/>
      </rPr>
      <t>МС</t>
    </r>
  </si>
  <si>
    <r>
      <rPr>
        <rFont val="Oswald"/>
        <b/>
        <color theme="1"/>
        <sz val="11.0"/>
      </rPr>
      <t xml:space="preserve">НЕФЕР </t>
    </r>
    <r>
      <rPr>
        <rFont val="Oswald"/>
        <b/>
        <color rgb="FF38761D"/>
        <sz val="11.0"/>
      </rPr>
      <t>МС</t>
    </r>
  </si>
  <si>
    <r>
      <rPr>
        <rFont val="Oswald"/>
        <b/>
        <color theme="1"/>
        <sz val="11.0"/>
      </rPr>
      <t xml:space="preserve">ЗИ БАЙ </t>
    </r>
    <r>
      <rPr>
        <rFont val="Oswald"/>
        <b/>
        <color rgb="FFE69138"/>
        <sz val="11.0"/>
      </rPr>
      <t>ЗЩ</t>
    </r>
  </si>
  <si>
    <r>
      <rPr>
        <rFont val="Oswald"/>
        <b/>
        <color theme="1"/>
        <sz val="11.0"/>
      </rPr>
      <t xml:space="preserve">КОЛОМБИНА </t>
    </r>
    <r>
      <rPr>
        <rFont val="Oswald"/>
        <b/>
        <color rgb="FF0000FF"/>
        <sz val="11.0"/>
      </rPr>
      <t>ХП</t>
    </r>
  </si>
  <si>
    <t>СА+МС</t>
  </si>
  <si>
    <t>◀️САМОСТОЯТЕЛЬНЫЕ ПЕРСОНАЖИ▶️</t>
  </si>
  <si>
    <t>⏪ПЕРСОНАЖИ В ОТРЯДЕ⏩</t>
  </si>
  <si>
    <t>Дурин №3</t>
  </si>
  <si>
    <t>Е лань №1</t>
  </si>
  <si>
    <t>Венти №4</t>
  </si>
  <si>
    <t>Флинс №1</t>
  </si>
  <si>
    <t>Нефер №2</t>
  </si>
  <si>
    <t>Альбедо №3</t>
  </si>
  <si>
    <t>Дурин(Свет)</t>
  </si>
  <si>
    <t>Мона(С6)</t>
  </si>
  <si>
    <t>Инеффа №1</t>
  </si>
  <si>
    <t>Лаума №2</t>
  </si>
  <si>
    <t>Альбедо №4</t>
  </si>
  <si>
    <t>Дурин(Тьма)</t>
  </si>
  <si>
    <t>Хайтам</t>
  </si>
  <si>
    <t>Кинич С6</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</si>
</sst>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 ### ###"/>
  </numFmts>
  <fonts count="121">
    <font>
      <sz val="10.0"/>
      <color rgb="FF000000"/>
      <name val="Arial"/>
      <scheme val="minor"/>
    </font>
    <font>
      <sz val="33.0"/>
      <color rgb="FFFFFFFF"/>
      <name val="Impact"/>
    </font>
    <font>
      <color theme="1"/>
      <name val="Arial"/>
      <scheme val="minor"/>
    </font>
    <font>
      <b/>
      <sz val="16.0"/>
      <color rgb="FFFFFFFF"/>
      <name val="Oswald"/>
    </font>
    <font>
      <sz val="25.0"/>
      <color rgb="FFFFFFFF"/>
      <name val="Impact"/>
    </font>
    <font>
      <u/>
      <sz val="28.0"/>
      <color rgb="FFFFFFFF"/>
      <name val="Impact"/>
    </font>
    <font>
      <b/>
      <color rgb="FF000000"/>
      <name val="Oswald"/>
    </font>
    <font>
      <b/>
      <sz val="12.0"/>
      <color theme="1"/>
      <name val="Oswald"/>
    </font>
    <font>
      <b/>
      <sz val="16.0"/>
      <color rgb="FF000000"/>
      <name val="Oswald"/>
    </font>
    <font>
      <b/>
      <sz val="13.0"/>
      <color theme="1"/>
      <name val="Oswald"/>
    </font>
    <font>
      <b/>
      <sz val="16.0"/>
      <color theme="1"/>
      <name val="Oswald"/>
    </font>
    <font>
      <b/>
      <u/>
      <sz val="16.0"/>
      <color rgb="FF0000FF"/>
      <name val="Oswald"/>
    </font>
    <font>
      <b/>
      <sz val="14.0"/>
      <color theme="1"/>
      <name val="Oswald"/>
    </font>
    <font>
      <b/>
      <sz val="11.0"/>
      <color theme="1"/>
      <name val="Oswald"/>
    </font>
    <font>
      <b/>
      <sz val="17.0"/>
      <color theme="1"/>
      <name val="Oswald"/>
    </font>
    <font>
      <b/>
      <color theme="1"/>
      <name val="Oswald"/>
    </font>
    <font>
      <b/>
      <u/>
      <sz val="11.0"/>
      <color rgb="FF0000FF"/>
      <name val="Oswald"/>
    </font>
    <font>
      <b/>
      <u/>
      <sz val="19.0"/>
      <color rgb="FFFFFF00"/>
      <name val="Oswald"/>
    </font>
    <font>
      <sz val="11.0"/>
      <color theme="1"/>
      <name val="Impact"/>
    </font>
    <font>
      <b/>
      <u/>
      <sz val="14.0"/>
      <color rgb="FF0000FF"/>
      <name val="Oswald"/>
    </font>
    <font>
      <sz val="30.0"/>
      <color rgb="FFFFFFFF"/>
      <name val="Impact"/>
    </font>
    <font>
      <u/>
      <sz val="14.0"/>
      <color rgb="FF0000FF"/>
      <name val="Impact"/>
    </font>
    <font>
      <sz val="36.0"/>
      <color rgb="FFFFFF00"/>
      <name val="Impact"/>
    </font>
    <font>
      <b/>
      <u/>
      <sz val="16.0"/>
      <color rgb="FF000000"/>
      <name val="Oswald"/>
    </font>
    <font>
      <b/>
      <color theme="1"/>
      <name val="Arial"/>
      <scheme val="minor"/>
    </font>
    <font>
      <b/>
      <sz val="10.0"/>
      <color theme="1"/>
      <name val="Arial"/>
      <scheme val="minor"/>
    </font>
    <font>
      <b/>
      <color rgb="FFFFFFFF"/>
      <name val="Arial"/>
      <scheme val="minor"/>
    </font>
    <font>
      <b/>
      <color rgb="FF000000"/>
      <name val="Arial"/>
      <scheme val="minor"/>
    </font>
    <font>
      <b/>
      <u/>
      <color rgb="FF0000FF"/>
      <name val="Roboto"/>
    </font>
    <font>
      <b/>
      <u/>
      <color rgb="FFFF0000"/>
      <name val="Roboto"/>
    </font>
    <font>
      <b/>
      <u/>
      <color rgb="FF0000FF"/>
      <name val="Roboto"/>
    </font>
    <font>
      <b/>
      <color rgb="FF000000"/>
      <name val="Roboto"/>
    </font>
    <font>
      <b/>
      <u/>
      <color rgb="FF9900FF"/>
      <name val="Roboto"/>
    </font>
    <font>
      <b/>
      <u/>
      <color rgb="FFFF00FF"/>
      <name val="Roboto"/>
    </font>
    <font>
      <b/>
      <u/>
      <color rgb="FF000000"/>
      <name val="Roboto"/>
    </font>
    <font>
      <b/>
      <color rgb="FF9900FF"/>
      <name val="Arial"/>
      <scheme val="minor"/>
    </font>
    <font>
      <b/>
      <color rgb="FF0000FF"/>
      <name val="Arial"/>
      <scheme val="minor"/>
    </font>
    <font>
      <b/>
      <u/>
      <color rgb="FF0000FF"/>
      <name val="Roboto"/>
    </font>
    <font>
      <b/>
      <u/>
      <color rgb="FFFF0000"/>
      <name val="Roboto"/>
    </font>
    <font>
      <b/>
      <u/>
      <color rgb="FF9900FF"/>
      <name val="Roboto"/>
    </font>
    <font>
      <b/>
      <u/>
      <color rgb="FFFF00FF"/>
      <name val="Roboto"/>
    </font>
    <font>
      <color theme="1"/>
      <name val="Oswald"/>
    </font>
    <font>
      <sz val="10.0"/>
      <color theme="1"/>
      <name val="Oswald"/>
    </font>
    <font>
      <sz val="10.0"/>
      <color rgb="FFFFFFFF"/>
      <name val="Oswald"/>
    </font>
    <font>
      <b/>
      <u/>
      <sz val="13.0"/>
      <color rgb="FFFF0000"/>
      <name val="Oswald"/>
    </font>
    <font>
      <b/>
      <u/>
      <sz val="13.0"/>
      <color rgb="FF0000FF"/>
      <name val="Oswald"/>
    </font>
    <font>
      <b/>
      <sz val="13.0"/>
      <color rgb="FF000000"/>
      <name val="Oswald"/>
    </font>
    <font>
      <b/>
      <u/>
      <sz val="13.0"/>
      <color rgb="FFFF00FF"/>
      <name val="Oswald"/>
    </font>
    <font>
      <b/>
      <sz val="13.0"/>
      <color rgb="FFFF0000"/>
      <name val="Oswald"/>
    </font>
    <font>
      <b/>
      <u/>
      <sz val="13.0"/>
      <color rgb="FF0000FF"/>
      <name val="Oswald"/>
    </font>
    <font>
      <b/>
      <sz val="10.0"/>
      <color rgb="FF000000"/>
      <name val="Oswald"/>
    </font>
    <font>
      <b/>
      <u/>
      <sz val="13.0"/>
      <color rgb="FF9900FF"/>
      <name val="Oswald"/>
    </font>
    <font>
      <b/>
      <u/>
      <sz val="13.0"/>
      <color rgb="FF0000FF"/>
      <name val="Oswald"/>
    </font>
    <font>
      <b/>
      <sz val="10.0"/>
      <color theme="1"/>
      <name val="Oswald"/>
    </font>
    <font>
      <color rgb="FFFFFFFF"/>
      <name val="Roboto"/>
    </font>
    <font>
      <color theme="1"/>
      <name val="Impact"/>
    </font>
    <font>
      <sz val="18.0"/>
      <color rgb="FF000000"/>
      <name val="Impact"/>
    </font>
    <font>
      <sz val="37.0"/>
      <color theme="1"/>
      <name val="Impact"/>
    </font>
    <font/>
    <font>
      <sz val="15.0"/>
      <color theme="1"/>
      <name val="Impact"/>
    </font>
    <font>
      <color rgb="FFFFFFFF"/>
      <name val="Arial"/>
      <scheme val="minor"/>
    </font>
    <font>
      <sz val="12.0"/>
      <color rgb="FFFFFFFF"/>
      <name val="Oswald"/>
    </font>
    <font>
      <b/>
      <u/>
      <sz val="13.0"/>
      <color rgb="FF0000FF"/>
      <name val="Oswald"/>
    </font>
    <font>
      <b/>
      <sz val="11.0"/>
      <color rgb="FF000000"/>
      <name val="Oswald"/>
    </font>
    <font>
      <b/>
      <sz val="12.0"/>
      <color rgb="FF000000"/>
      <name val="Oswald"/>
    </font>
    <font>
      <b/>
      <u/>
      <sz val="13.0"/>
      <color rgb="FF000000"/>
      <name val="Oswald"/>
    </font>
    <font>
      <b/>
      <u/>
      <sz val="13.0"/>
      <color rgb="FF0000FF"/>
      <name val="Oswald"/>
    </font>
    <font>
      <b/>
      <u/>
      <sz val="11.0"/>
      <color rgb="FFFF0000"/>
      <name val="Oswald"/>
    </font>
    <font>
      <b/>
      <u/>
      <sz val="11.0"/>
      <color rgb="FFFF0000"/>
      <name val="Oswald"/>
    </font>
    <font>
      <b/>
      <u/>
      <sz val="11.0"/>
      <color rgb="FF0000FF"/>
      <name val="Oswald"/>
    </font>
    <font>
      <b/>
      <sz val="13.0"/>
      <color rgb="FFFFFFFF"/>
      <name val="Oswald"/>
    </font>
    <font>
      <b/>
      <sz val="14.0"/>
      <color rgb="FF000000"/>
      <name val="Oswald"/>
    </font>
    <font>
      <b/>
      <sz val="14.0"/>
      <color rgb="FF0000FF"/>
      <name val="Oswald"/>
    </font>
    <font>
      <b/>
      <sz val="14.0"/>
      <color rgb="FFFF0000"/>
      <name val="Oswald"/>
    </font>
    <font>
      <b/>
      <sz val="14.0"/>
      <color rgb="FF9900FF"/>
      <name val="Oswald"/>
    </font>
    <font>
      <sz val="12.0"/>
      <color theme="1"/>
      <name val="Oswald"/>
    </font>
    <font>
      <b/>
      <color rgb="FF39203E"/>
      <name val="Oswald"/>
    </font>
    <font>
      <b/>
      <sz val="17.0"/>
      <color rgb="FFFF0000"/>
      <name val="Oswald"/>
    </font>
    <font>
      <b/>
      <sz val="25.0"/>
      <color rgb="FFFFFFFF"/>
      <name val="Oswald"/>
    </font>
    <font>
      <b/>
      <sz val="20.0"/>
      <color rgb="FFFFFFFF"/>
      <name val="Oswald"/>
    </font>
    <font>
      <b/>
      <sz val="24.0"/>
      <color rgb="FFFFFFFF"/>
      <name val="Oswald"/>
    </font>
    <font>
      <b/>
      <sz val="10.0"/>
      <color rgb="FFBBFCEC"/>
      <name val="Oswald"/>
    </font>
    <font>
      <b/>
      <sz val="24.0"/>
      <color rgb="FF000000"/>
      <name val="Oswald"/>
    </font>
    <font>
      <b/>
      <sz val="18.0"/>
      <color theme="1"/>
      <name val="Oswald"/>
    </font>
    <font>
      <b/>
      <sz val="20.0"/>
      <color theme="1"/>
      <name val="Oswald"/>
    </font>
    <font>
      <b/>
      <sz val="26.0"/>
      <color theme="1"/>
      <name val="Oswald"/>
    </font>
    <font>
      <sz val="24.0"/>
      <color rgb="FFFFFFFF"/>
      <name val="Impact"/>
    </font>
    <font>
      <sz val="15.0"/>
      <color rgb="FFFFFFFF"/>
      <name val="Impact"/>
    </font>
    <font>
      <b/>
      <sz val="12.0"/>
      <color rgb="FFFFFFFF"/>
      <name val="Oswald"/>
    </font>
    <font>
      <b/>
      <sz val="24.0"/>
      <color theme="1"/>
      <name val="Oswald"/>
    </font>
    <font>
      <b/>
      <sz val="14.0"/>
      <color rgb="FFFFFFFF"/>
      <name val="Oswald"/>
    </font>
    <font>
      <b/>
      <sz val="26.0"/>
      <color rgb="FFFFFFFF"/>
      <name val="Oswald"/>
    </font>
    <font>
      <sz val="28.0"/>
      <color rgb="FFFFFFFF"/>
      <name val="Impact"/>
    </font>
    <font>
      <sz val="16.0"/>
      <color theme="1"/>
      <name val="Arial"/>
      <scheme val="minor"/>
    </font>
    <font>
      <b/>
      <sz val="22.0"/>
      <color rgb="FFFFFFFF"/>
      <name val="Oswald"/>
    </font>
    <font>
      <b/>
      <sz val="15.0"/>
      <color theme="1"/>
      <name val="Oswald"/>
    </font>
    <font>
      <b/>
      <sz val="15.0"/>
      <color rgb="FF0B5394"/>
      <name val="Oswald"/>
    </font>
    <font>
      <b/>
      <sz val="15.0"/>
      <color rgb="FF434343"/>
      <name val="Oswald"/>
    </font>
    <font>
      <b/>
      <sz val="22.0"/>
      <color theme="1"/>
      <name val="Oswald"/>
    </font>
    <font>
      <sz val="23.0"/>
      <color rgb="FFFFFFFF"/>
      <name val="Impact"/>
    </font>
    <font>
      <b/>
      <sz val="13.0"/>
      <color rgb="FF274E13"/>
      <name val="Oswald"/>
    </font>
    <font>
      <sz val="25.0"/>
      <color rgb="FF6AA84F"/>
      <name val="Impact"/>
    </font>
    <font>
      <b/>
      <sz val="11.0"/>
      <color rgb="FFFFFFFF"/>
      <name val="Oswald"/>
    </font>
    <font>
      <sz val="10.0"/>
      <color rgb="FF000000"/>
      <name val="Oswald"/>
    </font>
    <font>
      <sz val="12.0"/>
      <color rgb="FF000000"/>
      <name val="Oswald"/>
    </font>
    <font>
      <sz val="25.0"/>
      <color rgb="FF990000"/>
      <name val="Impact"/>
    </font>
    <font>
      <sz val="13.0"/>
      <color rgb="FF000000"/>
      <name val="Arial"/>
      <scheme val="minor"/>
    </font>
    <font>
      <sz val="12.0"/>
      <color rgb="FF660000"/>
      <name val="Oswald"/>
    </font>
    <font>
      <b/>
      <sz val="12.0"/>
      <color rgb="FF66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
      <b/>
      <u/>
      <sz val="14.0"/>
      <color rgb="FF000000"/>
      <name val="Oswald"/>
    </font>
  </fonts>
  <fills count="50">
    <fill>
      <patternFill patternType="none"/>
    </fill>
    <fill>
      <patternFill patternType="lightGray"/>
    </fill>
    <fill>
      <patternFill patternType="solid">
        <fgColor rgb="FF000000"/>
        <bgColor rgb="FF000000"/>
      </patternFill>
    </fill>
    <fill>
      <patternFill patternType="solid">
        <fgColor rgb="FF4A86E8"/>
        <bgColor rgb="FF4A86E8"/>
      </patternFill>
    </fill>
    <fill>
      <patternFill patternType="solid">
        <fgColor rgb="FFFFF2CC"/>
        <bgColor rgb="FFFFF2CC"/>
      </patternFill>
    </fill>
    <fill>
      <patternFill patternType="solid">
        <fgColor rgb="FFEFEFEF"/>
        <bgColor rgb="FFEFEFEF"/>
      </patternFill>
    </fill>
    <fill>
      <patternFill patternType="solid">
        <fgColor rgb="FFD5A6BD"/>
        <bgColor rgb="FFD5A6BD"/>
      </patternFill>
    </fill>
    <fill>
      <patternFill patternType="solid">
        <fgColor rgb="FFC27BA0"/>
        <bgColor rgb="FFC27BA0"/>
      </patternFill>
    </fill>
    <fill>
      <patternFill patternType="solid">
        <fgColor rgb="FFFFFFFF"/>
        <bgColor rgb="FFFFFFFF"/>
      </patternFill>
    </fill>
    <fill>
      <patternFill patternType="solid">
        <fgColor rgb="FFA61C00"/>
        <bgColor rgb="FFA61C00"/>
      </patternFill>
    </fill>
    <fill>
      <patternFill patternType="solid">
        <fgColor rgb="FF85200C"/>
        <bgColor rgb="FF85200C"/>
      </patternFill>
    </fill>
    <fill>
      <patternFill patternType="solid">
        <fgColor rgb="FFFF9900"/>
        <bgColor rgb="FFFF9900"/>
      </patternFill>
    </fill>
    <fill>
      <patternFill patternType="solid">
        <fgColor rgb="FFD9D9D9"/>
        <bgColor rgb="FFD9D9D9"/>
      </patternFill>
    </fill>
    <fill>
      <patternFill patternType="solid">
        <fgColor rgb="FFFFE599"/>
        <bgColor rgb="FFFFE599"/>
      </patternFill>
    </fill>
    <fill>
      <patternFill patternType="solid">
        <fgColor rgb="FFEA9999"/>
        <bgColor rgb="FFEA9999"/>
      </patternFill>
    </fill>
    <fill>
      <patternFill patternType="solid">
        <fgColor rgb="FF93C47D"/>
        <bgColor rgb="FF93C47D"/>
      </patternFill>
    </fill>
    <fill>
      <patternFill patternType="solid">
        <fgColor rgb="FFFCE5CD"/>
        <bgColor rgb="FFFCE5CD"/>
      </patternFill>
    </fill>
    <fill>
      <patternFill patternType="solid">
        <fgColor rgb="FFD9EAD3"/>
        <bgColor rgb="FFD9EAD3"/>
      </patternFill>
    </fill>
    <fill>
      <patternFill patternType="solid">
        <fgColor rgb="FFB4A7D6"/>
        <bgColor rgb="FFB4A7D6"/>
      </patternFill>
    </fill>
    <fill>
      <patternFill patternType="solid">
        <fgColor rgb="FF6D9EEB"/>
        <bgColor rgb="FF6D9EEB"/>
      </patternFill>
    </fill>
    <fill>
      <patternFill patternType="solid">
        <fgColor rgb="FF0B5394"/>
        <bgColor rgb="FF0B5394"/>
      </patternFill>
    </fill>
    <fill>
      <patternFill patternType="solid">
        <fgColor rgb="FFCFE2F3"/>
        <bgColor rgb="FFCFE2F3"/>
      </patternFill>
    </fill>
    <fill>
      <patternFill patternType="solid">
        <fgColor rgb="FF9FC5E8"/>
        <bgColor rgb="FF9FC5E8"/>
      </patternFill>
    </fill>
    <fill>
      <patternFill patternType="solid">
        <fgColor rgb="FFF4CCCC"/>
        <bgColor rgb="FFF4CCCC"/>
      </patternFill>
    </fill>
    <fill>
      <patternFill patternType="solid">
        <fgColor rgb="FFA4C2F4"/>
        <bgColor rgb="FFA4C2F4"/>
      </patternFill>
    </fill>
    <fill>
      <patternFill patternType="solid">
        <fgColor rgb="FF6FA8DC"/>
        <bgColor rgb="FF6FA8DC"/>
      </patternFill>
    </fill>
    <fill>
      <patternFill patternType="solid">
        <fgColor rgb="FF8E7CC3"/>
        <bgColor rgb="FF8E7CC3"/>
      </patternFill>
    </fill>
    <fill>
      <patternFill patternType="solid">
        <fgColor rgb="FFB6D7A8"/>
        <bgColor rgb="FFB6D7A8"/>
      </patternFill>
    </fill>
    <fill>
      <patternFill patternType="solid">
        <fgColor rgb="FFFFD966"/>
        <bgColor rgb="FFFFD966"/>
      </patternFill>
    </fill>
    <fill>
      <patternFill patternType="solid">
        <fgColor rgb="FFF1C232"/>
        <bgColor rgb="FFF1C232"/>
      </patternFill>
    </fill>
    <fill>
      <patternFill patternType="solid">
        <fgColor rgb="FF75B957"/>
        <bgColor rgb="FF75B957"/>
      </patternFill>
    </fill>
    <fill>
      <patternFill patternType="solid">
        <fgColor rgb="FF628B4D"/>
        <bgColor rgb="FF628B4D"/>
      </patternFill>
    </fill>
    <fill>
      <patternFill patternType="solid">
        <fgColor rgb="FF674EA7"/>
        <bgColor rgb="FF674EA7"/>
      </patternFill>
    </fill>
    <fill>
      <patternFill patternType="solid">
        <fgColor rgb="FF3D85C6"/>
        <bgColor rgb="FF3D85C6"/>
      </patternFill>
    </fill>
    <fill>
      <patternFill patternType="solid">
        <fgColor rgb="FFE06666"/>
        <bgColor rgb="FFE06666"/>
      </patternFill>
    </fill>
    <fill>
      <patternFill patternType="solid">
        <fgColor rgb="FFB7B7B7"/>
        <bgColor rgb="FFB7B7B7"/>
      </patternFill>
    </fill>
    <fill>
      <patternFill patternType="solid">
        <fgColor rgb="FF39203E"/>
        <bgColor rgb="FF39203E"/>
      </patternFill>
    </fill>
    <fill>
      <patternFill patternType="solid">
        <fgColor rgb="FF783F04"/>
        <bgColor rgb="FF783F04"/>
      </patternFill>
    </fill>
    <fill>
      <patternFill patternType="solid">
        <fgColor rgb="FFF3F3F3"/>
        <bgColor rgb="FFF3F3F3"/>
      </patternFill>
    </fill>
    <fill>
      <patternFill patternType="solid">
        <fgColor rgb="FFBBFCEC"/>
        <bgColor rgb="FFBBFCEC"/>
      </patternFill>
    </fill>
    <fill>
      <patternFill patternType="solid">
        <fgColor rgb="FFF9CB9C"/>
        <bgColor rgb="FFF9CB9C"/>
      </patternFill>
    </fill>
    <fill>
      <patternFill patternType="solid">
        <fgColor rgb="FF3C78D8"/>
        <bgColor rgb="FF3C78D8"/>
      </patternFill>
    </fill>
    <fill>
      <patternFill patternType="solid">
        <fgColor rgb="FF6AA84F"/>
        <bgColor rgb="FF6AA84F"/>
      </patternFill>
    </fill>
    <fill>
      <patternFill patternType="solid">
        <fgColor rgb="FF434343"/>
        <bgColor rgb="FF434343"/>
      </patternFill>
    </fill>
    <fill>
      <patternFill patternType="solid">
        <fgColor rgb="FFD9D2E9"/>
        <bgColor rgb="FFD9D2E9"/>
      </patternFill>
    </fill>
    <fill>
      <patternFill patternType="solid">
        <fgColor rgb="FFA2C4C9"/>
        <bgColor rgb="FFA2C4C9"/>
      </patternFill>
    </fill>
    <fill>
      <patternFill patternType="solid">
        <fgColor rgb="FFD0E0E3"/>
        <bgColor rgb="FFD0E0E3"/>
      </patternFill>
    </fill>
    <fill>
      <patternFill patternType="solid">
        <fgColor rgb="FFE6B8AF"/>
        <bgColor rgb="FFE6B8AF"/>
      </patternFill>
    </fill>
    <fill>
      <patternFill patternType="solid">
        <fgColor rgb="FFEAD1DC"/>
        <bgColor rgb="FFEAD1DC"/>
      </patternFill>
    </fill>
    <fill>
      <patternFill patternType="solid">
        <fgColor rgb="FFE69138"/>
        <bgColor rgb="FFE69138"/>
      </patternFill>
    </fill>
  </fills>
  <borders count="356">
    <border/>
    <border>
      <bottom style="thick">
        <color rgb="FF000000"/>
      </bottom>
    </border>
    <border>
      <right style="medium">
        <color rgb="FF356854"/>
      </right>
      <bottom style="thick">
        <color rgb="FF000000"/>
      </bottom>
    </border>
    <border>
      <right style="medium">
        <color rgb="FF356854"/>
      </right>
    </border>
    <border>
      <right style="thick">
        <color rgb="FFF9CB9C"/>
      </right>
    </border>
    <border>
      <right style="thick">
        <color rgb="FFEA9999"/>
      </right>
    </border>
    <border>
      <right style="thick">
        <color rgb="FFF6B26B"/>
      </right>
    </border>
    <border>
      <right style="thick">
        <color rgb="FF6D9EEB"/>
      </right>
    </border>
    <border>
      <left style="thick">
        <color rgb="FF000000"/>
      </left>
      <right style="hair">
        <color rgb="FF000000"/>
      </right>
    </border>
    <border>
      <right style="thick">
        <color rgb="FF000000"/>
      </right>
    </border>
    <border>
      <right style="hair">
        <color rgb="FF000000"/>
      </right>
    </border>
    <border>
      <right style="dotted">
        <color rgb="FF000000"/>
      </right>
    </border>
    <border>
      <right style="hair">
        <color rgb="FF000000"/>
      </right>
      <bottom style="hair">
        <color rgb="FF000000"/>
      </bottom>
    </border>
    <border>
      <right style="thick">
        <color rgb="FFFF9900"/>
      </right>
    </border>
    <border>
      <left style="thick">
        <color rgb="FFFF9900"/>
      </left>
    </border>
    <border>
      <left style="thick">
        <color rgb="FFCC0000"/>
      </left>
      <top style="thick">
        <color rgb="FFCC0000"/>
      </top>
      <bottom style="thick">
        <color rgb="FFCC0000"/>
      </bottom>
    </border>
    <border>
      <top style="thick">
        <color rgb="FFCC0000"/>
      </top>
      <bottom style="thick">
        <color rgb="FFCC0000"/>
      </bottom>
    </border>
    <border>
      <right style="thick">
        <color rgb="FFCC0000"/>
      </right>
      <top style="thick">
        <color rgb="FFCC0000"/>
      </top>
      <bottom style="thick">
        <color rgb="FFCC0000"/>
      </bottom>
    </border>
    <border>
      <left style="thick">
        <color rgb="FFE06666"/>
      </left>
      <right style="thick">
        <color rgb="FFE06666"/>
      </right>
      <bottom style="thick">
        <color rgb="FFE06666"/>
      </bottom>
    </border>
    <border>
      <left style="thick">
        <color rgb="FFE06666"/>
      </left>
      <bottom style="thick">
        <color rgb="FFE06666"/>
      </bottom>
    </border>
    <border>
      <bottom style="thick">
        <color rgb="FFE06666"/>
      </bottom>
    </border>
    <border>
      <right style="thick">
        <color rgb="FFE06666"/>
      </right>
      <bottom style="thick">
        <color rgb="FFE06666"/>
      </bottom>
    </border>
    <border>
      <left style="thick">
        <color rgb="FFE06666"/>
      </left>
      <right style="thick">
        <color rgb="FFE06666"/>
      </right>
      <top style="thick">
        <color rgb="FFE06666"/>
      </top>
    </border>
    <border>
      <left style="thick">
        <color rgb="FFE06666"/>
      </left>
      <top style="thick">
        <color rgb="FFE06666"/>
      </top>
    </border>
    <border>
      <top style="thick">
        <color rgb="FFE06666"/>
      </top>
    </border>
    <border>
      <right style="thick">
        <color rgb="FFE06666"/>
      </right>
      <top style="thick">
        <color rgb="FFE06666"/>
      </top>
    </border>
    <border>
      <right style="thick">
        <color rgb="FF0B5394"/>
      </right>
      <bottom style="thick">
        <color rgb="FF000000"/>
      </bottom>
    </border>
    <border>
      <left style="thick">
        <color rgb="FF0B5394"/>
      </left>
      <right style="thick">
        <color rgb="FF0B5394"/>
      </right>
      <bottom style="thick">
        <color rgb="FF000000"/>
      </bottom>
    </border>
    <border>
      <right style="hair">
        <color rgb="FF0B5394"/>
      </right>
      <bottom style="thick">
        <color rgb="FF000000"/>
      </bottom>
    </border>
    <border>
      <right style="thick">
        <color rgb="FF0B5394"/>
      </right>
    </border>
    <border>
      <left style="thick">
        <color rgb="FF0B5394"/>
      </left>
      <right style="thick">
        <color rgb="FF0B5394"/>
      </right>
    </border>
    <border>
      <right style="hair">
        <color rgb="FF0B5394"/>
      </right>
    </border>
    <border>
      <right style="thick">
        <color rgb="FF0B5394"/>
      </right>
      <bottom style="thick">
        <color rgb="FF535FC1"/>
      </bottom>
    </border>
    <border>
      <left style="thick">
        <color rgb="FF0B5394"/>
      </left>
      <right style="thick">
        <color rgb="FF0B5394"/>
      </right>
      <bottom style="thick">
        <color rgb="FF3C78D8"/>
      </bottom>
    </border>
    <border>
      <right style="hair">
        <color rgb="FF0B5394"/>
      </right>
      <bottom style="thick">
        <color rgb="FF3C78D8"/>
      </bottom>
    </border>
    <border>
      <right style="thick">
        <color rgb="FF0B5394"/>
      </right>
      <bottom style="thick">
        <color rgb="FF3C78D8"/>
      </bottom>
    </border>
    <border>
      <bottom style="thick">
        <color rgb="FF3C78D8"/>
      </bottom>
    </border>
    <border>
      <right style="thick">
        <color rgb="FF0B5394"/>
      </right>
      <bottom style="thick">
        <color rgb="FFEA4335"/>
      </bottom>
    </border>
    <border>
      <left style="thick">
        <color rgb="FF0B5394"/>
      </left>
      <right style="thick">
        <color rgb="FF0B5394"/>
      </right>
      <bottom style="thick">
        <color rgb="FFFF0000"/>
      </bottom>
    </border>
    <border>
      <right style="hair">
        <color rgb="FF0B5394"/>
      </right>
      <bottom style="thick">
        <color rgb="FFFF0000"/>
      </bottom>
    </border>
    <border>
      <right style="thick">
        <color rgb="FF0B5394"/>
      </right>
      <bottom style="thick">
        <color rgb="FFFF0000"/>
      </bottom>
    </border>
    <border>
      <bottom style="thick">
        <color rgb="FFFF0000"/>
      </bottom>
    </border>
    <border>
      <right style="thick">
        <color rgb="FF0B5394"/>
      </right>
      <bottom style="thick">
        <color rgb="FF674EA7"/>
      </bottom>
    </border>
    <border>
      <left style="thick">
        <color rgb="FF0B5394"/>
      </left>
      <right style="thick">
        <color rgb="FF0B5394"/>
      </right>
      <bottom style="thick">
        <color rgb="FF674EA7"/>
      </bottom>
    </border>
    <border>
      <right style="hair">
        <color rgb="FF0B5394"/>
      </right>
      <bottom style="thick">
        <color rgb="FF674EA7"/>
      </bottom>
    </border>
    <border>
      <bottom style="thick">
        <color rgb="FF674EA7"/>
      </bottom>
    </border>
    <border>
      <right style="thick">
        <color rgb="FF0B5394"/>
      </right>
      <bottom style="thick">
        <color rgb="FF38761D"/>
      </bottom>
    </border>
    <border>
      <left style="thick">
        <color rgb="FF0B5394"/>
      </left>
      <right style="thick">
        <color rgb="FF0B5394"/>
      </right>
      <bottom style="thick">
        <color rgb="FF38761D"/>
      </bottom>
    </border>
    <border>
      <right style="hair">
        <color rgb="FF0B5394"/>
      </right>
      <bottom style="thick">
        <color rgb="FF38761D"/>
      </bottom>
    </border>
    <border>
      <bottom style="thick">
        <color rgb="FF38761D"/>
      </bottom>
    </border>
    <border>
      <right style="thick">
        <color rgb="FF0B5394"/>
      </right>
      <bottom style="thick">
        <color rgb="FFE69138"/>
      </bottom>
    </border>
    <border>
      <left style="thick">
        <color rgb="FF0B5394"/>
      </left>
      <right style="thick">
        <color rgb="FF0B5394"/>
      </right>
      <bottom style="thick">
        <color rgb="FFE69138"/>
      </bottom>
    </border>
    <border>
      <right style="hair">
        <color rgb="FF0B5394"/>
      </right>
      <bottom style="thick">
        <color rgb="FFE69138"/>
      </bottom>
    </border>
    <border>
      <bottom style="thick">
        <color rgb="FFE69138"/>
      </bottom>
    </border>
    <border>
      <right style="thick">
        <color rgb="FF0B5394"/>
      </right>
      <bottom style="thick">
        <color rgb="FF274E13"/>
      </bottom>
    </border>
    <border>
      <left style="thick">
        <color rgb="FF0B5394"/>
      </left>
      <right style="thick">
        <color rgb="FF0B5394"/>
      </right>
      <bottom style="thick">
        <color rgb="FF274E13"/>
      </bottom>
    </border>
    <border>
      <right style="hair">
        <color rgb="FF0B5394"/>
      </right>
      <bottom style="thick">
        <color rgb="FF274E13"/>
      </bottom>
    </border>
    <border>
      <bottom style="thick">
        <color rgb="FF274E13"/>
      </bottom>
    </border>
    <border>
      <left style="thin">
        <color rgb="FF674EA7"/>
      </left>
      <right style="thin">
        <color rgb="FF674EA7"/>
      </right>
      <bottom style="thick">
        <color rgb="FF9900FF"/>
      </bottom>
    </border>
    <border>
      <right style="thick">
        <color rgb="FF9900FF"/>
      </right>
    </border>
    <border>
      <left style="thick">
        <color rgb="FF9900FF"/>
      </left>
      <right style="thick">
        <color rgb="FF9900FF"/>
      </right>
    </border>
    <border>
      <right style="hair">
        <color rgb="FF9900FF"/>
      </right>
    </border>
    <border>
      <left style="thick">
        <color rgb="FF9900FF"/>
      </left>
      <right style="thick">
        <color rgb="FF9900FF"/>
      </right>
      <bottom style="thick">
        <color rgb="FF9768DF"/>
      </bottom>
    </border>
    <border>
      <right style="hair">
        <color rgb="FF9900FF"/>
      </right>
      <bottom style="thick">
        <color rgb="FF9768DF"/>
      </bottom>
    </border>
    <border>
      <right style="thick">
        <color rgb="FF9900FF"/>
      </right>
      <bottom style="thick">
        <color rgb="FF9768DF"/>
      </bottom>
    </border>
    <border>
      <bottom style="thick">
        <color rgb="FF9900FF"/>
      </bottom>
    </border>
    <border>
      <right style="thick">
        <color rgb="FF9900FF"/>
      </right>
      <top style="thick">
        <color rgb="FF9900FF"/>
      </top>
    </border>
    <border>
      <bottom style="thick">
        <color rgb="FF9768DF"/>
      </bottom>
    </border>
    <border>
      <right style="thick">
        <color rgb="FF9900FF"/>
      </right>
      <bottom style="thick">
        <color rgb="FF674EA7"/>
      </bottom>
    </border>
    <border>
      <left style="thick">
        <color rgb="FF9900FF"/>
      </left>
      <right style="thick">
        <color rgb="FF9900FF"/>
      </right>
      <bottom style="thick">
        <color rgb="FF674EA7"/>
      </bottom>
    </border>
    <border>
      <right style="hair">
        <color rgb="FF9900FF"/>
      </right>
      <bottom style="thick">
        <color rgb="FF674EA7"/>
      </bottom>
    </border>
    <border>
      <right style="thick">
        <color rgb="FF9900FF"/>
      </right>
      <bottom style="thick">
        <color rgb="FF9900FF"/>
      </bottom>
    </border>
    <border>
      <left style="thick">
        <color rgb="FF9900FF"/>
      </left>
      <right style="thick">
        <color rgb="FF9900FF"/>
      </right>
      <bottom style="thick">
        <color rgb="FF9900FF"/>
      </bottom>
    </border>
    <border>
      <right style="hair">
        <color rgb="FF9900FF"/>
      </right>
      <bottom style="thick">
        <color rgb="FF9900FF"/>
      </bottom>
    </border>
    <border>
      <left style="thick">
        <color rgb="FF9900FF"/>
      </left>
    </border>
    <border>
      <right style="medium">
        <color rgb="FF000000"/>
      </right>
    </border>
    <border>
      <right style="medium">
        <color rgb="FF674EA7"/>
      </right>
    </border>
    <border>
      <left style="medium">
        <color rgb="FF674EA7"/>
      </left>
    </border>
    <border>
      <right style="medium">
        <color rgb="FF38761D"/>
      </right>
    </border>
    <border>
      <left style="medium">
        <color rgb="FF38761D"/>
      </left>
    </border>
    <border>
      <right style="medium">
        <color rgb="FF1155CC"/>
      </right>
    </border>
    <border>
      <left style="medium">
        <color rgb="FF1155CC"/>
      </left>
    </border>
    <border>
      <right style="medium">
        <color rgb="FFCC0000"/>
      </right>
    </border>
    <border>
      <left style="medium">
        <color rgb="FFCC0000"/>
      </left>
    </border>
    <border>
      <left style="thick">
        <color rgb="FF000000"/>
      </left>
      <right style="thick">
        <color rgb="FFFF0000"/>
      </right>
      <top style="thick">
        <color rgb="FFFF0000"/>
      </top>
    </border>
    <border>
      <top style="thick">
        <color rgb="FFE69138"/>
      </top>
    </border>
    <border>
      <right style="thick">
        <color rgb="FFE69138"/>
      </right>
      <top style="thick">
        <color rgb="FFE69138"/>
      </top>
    </border>
    <border>
      <left style="thick">
        <color rgb="FFE69138"/>
      </left>
      <top style="thick">
        <color rgb="FFE69138"/>
      </top>
    </border>
    <border>
      <left style="thick">
        <color rgb="FFBF9000"/>
      </left>
      <right style="thick">
        <color rgb="FFBF9000"/>
      </right>
      <top style="thick">
        <color rgb="FFBF9000"/>
      </top>
    </border>
    <border>
      <right style="thick">
        <color rgb="FFBF9000"/>
      </right>
      <top style="thick">
        <color rgb="FFBF9000"/>
      </top>
    </border>
    <border>
      <left style="thick">
        <color rgb="FFFF9900"/>
      </left>
      <right style="thick">
        <color rgb="FFFF9900"/>
      </right>
      <top style="thick">
        <color rgb="FFFF9900"/>
      </top>
    </border>
    <border>
      <top style="thick">
        <color rgb="FFFF9900"/>
      </top>
    </border>
    <border>
      <right style="thick">
        <color rgb="FFFF9900"/>
      </right>
      <top style="thick">
        <color rgb="FFFF9900"/>
      </top>
    </border>
    <border>
      <left style="thick">
        <color rgb="FF000000"/>
      </left>
      <right style="thick">
        <color rgb="FFFF0000"/>
      </right>
      <bottom style="thick">
        <color rgb="FFFF0000"/>
      </bottom>
    </border>
    <border>
      <right style="thick">
        <color rgb="FFE69138"/>
      </right>
      <bottom style="thick">
        <color rgb="FFE69138"/>
      </bottom>
    </border>
    <border>
      <left style="thick">
        <color rgb="FFE69138"/>
      </left>
      <bottom style="thick">
        <color rgb="FFE69138"/>
      </bottom>
    </border>
    <border>
      <left style="thick">
        <color rgb="FFBF9000"/>
      </left>
      <right style="thick">
        <color rgb="FFBF9000"/>
      </right>
      <bottom style="thick">
        <color rgb="FFBF9000"/>
      </bottom>
    </border>
    <border>
      <right style="thick">
        <color rgb="FFBF9000"/>
      </right>
      <bottom style="thick">
        <color rgb="FFBF9000"/>
      </bottom>
    </border>
    <border>
      <left style="thick">
        <color rgb="FF0000FF"/>
      </left>
      <top style="thick">
        <color rgb="FF0000FF"/>
      </top>
    </border>
    <border>
      <top style="thick">
        <color rgb="FF0000FF"/>
      </top>
    </border>
    <border>
      <right style="thick">
        <color rgb="FF0000FF"/>
      </right>
      <top style="thick">
        <color rgb="FF0000FF"/>
      </top>
    </border>
    <border>
      <left style="thick">
        <color rgb="FFFF9900"/>
      </left>
      <right style="thick">
        <color rgb="FFFF9900"/>
      </right>
      <bottom style="thick">
        <color rgb="FFFF9900"/>
      </bottom>
    </border>
    <border>
      <bottom style="thick">
        <color rgb="FFFF9900"/>
      </bottom>
    </border>
    <border>
      <right style="thick">
        <color rgb="FFFF9900"/>
      </right>
      <bottom style="thick">
        <color rgb="FFFF9900"/>
      </bottom>
    </border>
    <border>
      <left style="thick">
        <color rgb="FFE69138"/>
      </left>
      <right style="thick">
        <color rgb="FFE69138"/>
      </right>
      <top style="thick">
        <color rgb="FFE69138"/>
      </top>
    </border>
    <border>
      <left style="thick">
        <color rgb="FFBF9000"/>
      </left>
      <right style="thick">
        <color rgb="FFBF9000"/>
      </right>
      <top style="thick">
        <color rgb="FFBF9000"/>
      </top>
      <bottom style="thick">
        <color rgb="FFBF9000"/>
      </bottom>
    </border>
    <border>
      <left style="thick">
        <color rgb="FF0000FF"/>
      </left>
      <bottom style="thick">
        <color rgb="FF0000FF"/>
      </bottom>
    </border>
    <border>
      <bottom style="thick">
        <color rgb="FF0000FF"/>
      </bottom>
    </border>
    <border>
      <right style="thick">
        <color rgb="FF0000FF"/>
      </right>
      <bottom style="thick">
        <color rgb="FF0000FF"/>
      </bottom>
    </border>
    <border>
      <left style="thick">
        <color rgb="FFFF9900"/>
      </left>
      <top style="thick">
        <color rgb="FFFF9900"/>
      </top>
    </border>
    <border>
      <right style="thick">
        <color rgb="FF000000"/>
      </right>
      <top style="thick">
        <color rgb="FFFF9900"/>
      </top>
    </border>
    <border>
      <left style="thick">
        <color rgb="FFE69138"/>
      </left>
    </border>
    <border>
      <right style="thick">
        <color rgb="FFE69138"/>
      </right>
    </border>
    <border>
      <left style="thick">
        <color rgb="FFE69138"/>
      </left>
      <bottom style="thick">
        <color rgb="FF000000"/>
      </bottom>
    </border>
    <border>
      <right style="thick">
        <color rgb="FFE69138"/>
      </right>
      <bottom style="thick">
        <color rgb="FF000000"/>
      </bottom>
    </border>
    <border>
      <left style="thick">
        <color rgb="FFE69138"/>
      </left>
      <right style="thick">
        <color rgb="FFE69138"/>
      </right>
    </border>
    <border>
      <left style="thick">
        <color rgb="FFE69138"/>
      </left>
      <right style="thick">
        <color rgb="FFE69138"/>
      </right>
      <top style="thick">
        <color rgb="FF000000"/>
      </top>
    </border>
    <border>
      <right style="medium">
        <color rgb="FF0000FF"/>
      </right>
      <top style="thick">
        <color rgb="FF0000FF"/>
      </top>
    </border>
    <border>
      <left style="thick">
        <color rgb="FFFF9900"/>
      </left>
      <bottom style="thick">
        <color rgb="FF000000"/>
      </bottom>
    </border>
    <border>
      <right style="thick">
        <color rgb="FF000000"/>
      </right>
      <bottom style="thick">
        <color rgb="FF000000"/>
      </bottom>
    </border>
    <border>
      <right style="thick">
        <color rgb="FFFF9900"/>
      </right>
      <bottom style="thick">
        <color rgb="FF000000"/>
      </bottom>
    </border>
    <border>
      <left style="thick">
        <color rgb="FFFF9900"/>
      </left>
      <right style="thick">
        <color rgb="FFFF9900"/>
      </right>
    </border>
    <border>
      <left style="thick">
        <color rgb="FFE69138"/>
      </left>
      <top style="thick">
        <color rgb="FF000000"/>
      </top>
    </border>
    <border>
      <right style="thick">
        <color rgb="FFE69138"/>
      </right>
      <top style="thick">
        <color rgb="FF000000"/>
      </top>
    </border>
    <border>
      <left style="thick">
        <color rgb="FFE69138"/>
      </left>
      <right style="thick">
        <color rgb="FFE69138"/>
      </right>
      <top style="thick">
        <color rgb="FF000000"/>
      </top>
      <bottom style="thick">
        <color rgb="FFE69138"/>
      </bottom>
    </border>
    <border>
      <left style="thick">
        <color rgb="FF0000FF"/>
      </left>
      <bottom style="medium">
        <color rgb="FF0000FF"/>
      </bottom>
    </border>
    <border>
      <right style="medium">
        <color rgb="FF0000FF"/>
      </right>
      <bottom style="medium">
        <color rgb="FF0000FF"/>
      </bottom>
    </border>
    <border>
      <left style="thick">
        <color rgb="FFFF9900"/>
      </left>
      <bottom style="thick">
        <color rgb="FFFF9900"/>
      </bottom>
    </border>
    <border>
      <right style="thick">
        <color rgb="FF000000"/>
      </right>
      <bottom style="thick">
        <color rgb="FFFF9900"/>
      </bottom>
    </border>
    <border>
      <left style="thick">
        <color rgb="FFE69138"/>
      </left>
      <right style="thick">
        <color rgb="FFE69138"/>
      </right>
      <bottom style="thick">
        <color rgb="FF000000"/>
      </bottom>
    </border>
    <border>
      <left style="thick">
        <color rgb="FF0000FF"/>
      </left>
      <bottom style="thick">
        <color rgb="FF000000"/>
      </bottom>
    </border>
    <border>
      <left style="thick">
        <color rgb="FF000000"/>
      </left>
      <right style="thick">
        <color rgb="FF0000FF"/>
      </right>
      <bottom style="thick">
        <color rgb="FF000000"/>
      </bottom>
    </border>
    <border>
      <left style="thick">
        <color rgb="FF000000"/>
      </left>
    </border>
    <border>
      <left style="thick">
        <color rgb="FF0000FF"/>
      </left>
    </border>
    <border>
      <left style="thick">
        <color rgb="FF000000"/>
      </left>
      <right style="thick">
        <color rgb="FF0000FF"/>
      </right>
    </border>
    <border>
      <left style="thick">
        <color rgb="FFFF9900"/>
      </left>
      <top style="thick">
        <color rgb="FF000000"/>
      </top>
    </border>
    <border>
      <top style="thick">
        <color rgb="FF000000"/>
      </top>
    </border>
    <border>
      <left style="thick">
        <color rgb="FF000000"/>
      </left>
      <top style="thick">
        <color rgb="FF000000"/>
      </top>
      <bottom style="thick">
        <color rgb="FF000000"/>
      </bottom>
    </border>
    <border>
      <right style="thick">
        <color rgb="FFFF9900"/>
      </right>
      <top style="thick">
        <color rgb="FF000000"/>
      </top>
      <bottom style="thick">
        <color rgb="FF000000"/>
      </bottom>
    </border>
    <border>
      <left style="thick">
        <color rgb="FF000000"/>
      </left>
      <top style="thick">
        <color rgb="FF000000"/>
      </top>
    </border>
    <border>
      <right style="thick">
        <color rgb="FFFF9900"/>
      </right>
      <top style="thick">
        <color rgb="FF000000"/>
      </top>
    </border>
    <border>
      <left style="thick">
        <color rgb="FFE69138"/>
      </left>
      <top style="thick">
        <color rgb="FFE69138"/>
      </top>
      <bottom style="thick">
        <color rgb="FFE69138"/>
      </bottom>
    </border>
    <border>
      <top style="thick">
        <color rgb="FFE69138"/>
      </top>
      <bottom style="thick">
        <color rgb="FFE69138"/>
      </bottom>
    </border>
    <border>
      <right style="thick">
        <color rgb="FFE69138"/>
      </right>
      <top style="thick">
        <color rgb="FFE69138"/>
      </top>
      <bottom style="thick">
        <color rgb="FFE69138"/>
      </bottom>
    </border>
    <border>
      <left style="thick">
        <color rgb="FFE69138"/>
      </left>
      <right style="thick">
        <color rgb="FF000000"/>
      </right>
      <top style="thick">
        <color rgb="FFE69138"/>
      </top>
    </border>
    <border>
      <right style="thick">
        <color rgb="FF000000"/>
      </right>
      <top style="thick">
        <color rgb="FFE69138"/>
      </top>
    </border>
    <border>
      <left style="thick">
        <color rgb="FFE69138"/>
      </left>
      <right style="thick">
        <color rgb="FF000000"/>
      </right>
    </border>
    <border>
      <left style="thick">
        <color rgb="FFE69138"/>
      </left>
      <right style="thick">
        <color rgb="FFE69138"/>
      </right>
      <bottom style="thick">
        <color rgb="FFE69138"/>
      </bottom>
    </border>
    <border>
      <left style="thick">
        <color rgb="FF000000"/>
      </left>
      <right style="thick">
        <color rgb="FF0000FF"/>
      </right>
      <bottom style="thick">
        <color rgb="FF0000FF"/>
      </bottom>
    </border>
    <border>
      <right style="thick">
        <color rgb="FFE69138"/>
      </right>
      <top style="thick">
        <color rgb="FFE69138"/>
      </top>
      <bottom style="thick">
        <color rgb="FF000000"/>
      </bottom>
    </border>
    <border>
      <left style="thick">
        <color rgb="FFFF0000"/>
      </left>
      <top style="thick">
        <color rgb="FFFF0000"/>
      </top>
    </border>
    <border>
      <top style="thick">
        <color rgb="FFFF0000"/>
      </top>
    </border>
    <border>
      <right style="thick">
        <color rgb="FFFF0000"/>
      </right>
      <top style="thick">
        <color rgb="FFFF0000"/>
      </top>
    </border>
    <border>
      <right style="thick">
        <color rgb="FF274E13"/>
      </right>
      <bottom style="thick">
        <color rgb="FF274E13"/>
      </bottom>
    </border>
    <border>
      <left style="thick">
        <color rgb="FF000000"/>
      </left>
      <bottom style="thick">
        <color rgb="FFFF9900"/>
      </bottom>
    </border>
    <border>
      <left style="thick">
        <color rgb="FFE69138"/>
      </left>
      <right style="thick">
        <color rgb="FF000000"/>
      </right>
      <bottom style="thick">
        <color rgb="FF000000"/>
      </bottom>
    </border>
    <border>
      <left style="thick">
        <color rgb="FFFF0000"/>
      </left>
      <bottom style="thick">
        <color rgb="FFFF0000"/>
      </bottom>
    </border>
    <border>
      <right style="thick">
        <color rgb="FFFF0000"/>
      </right>
      <bottom style="thick">
        <color rgb="FFFF0000"/>
      </bottom>
    </border>
    <border>
      <right style="thick">
        <color rgb="FF000000"/>
      </right>
      <top style="thick">
        <color rgb="FF274E13"/>
      </top>
    </border>
    <border>
      <right style="thick">
        <color rgb="FF274E13"/>
      </right>
      <top style="thick">
        <color rgb="FF274E13"/>
      </top>
    </border>
    <border>
      <left style="thick">
        <color rgb="FF000000"/>
      </left>
      <right style="thick">
        <color rgb="FFE69138"/>
      </right>
      <top style="thick">
        <color rgb="FF000000"/>
      </top>
    </border>
    <border>
      <left style="thick">
        <color rgb="FFFF0000"/>
      </left>
      <right style="thick">
        <color rgb="FF000000"/>
      </right>
      <bottom style="thick">
        <color rgb="FF000000"/>
      </bottom>
    </border>
    <border>
      <left style="thick">
        <color rgb="FF000000"/>
      </left>
      <bottom style="thick">
        <color rgb="FF000000"/>
      </bottom>
    </border>
    <border>
      <left style="thick">
        <color rgb="FF000000"/>
      </left>
      <right style="thick">
        <color rgb="FF000000"/>
      </right>
      <bottom style="thick">
        <color rgb="FF000000"/>
      </bottom>
    </border>
    <border>
      <right style="thick">
        <color rgb="FFFF0000"/>
      </right>
      <bottom style="thick">
        <color rgb="FF000000"/>
      </bottom>
    </border>
    <border>
      <right style="thick">
        <color rgb="FF274E13"/>
      </right>
    </border>
    <border>
      <left style="thick">
        <color rgb="FFE69138"/>
      </left>
      <right style="thick">
        <color rgb="FF000000"/>
      </right>
      <bottom style="thick">
        <color rgb="FFE69138"/>
      </bottom>
    </border>
    <border>
      <left style="thick">
        <color rgb="FF000000"/>
      </left>
      <right style="thick">
        <color rgb="FFE69138"/>
      </right>
      <bottom style="thick">
        <color rgb="FFE69138"/>
      </bottom>
    </border>
    <border>
      <left style="thick">
        <color rgb="FFFF0000"/>
      </left>
      <right style="thick">
        <color rgb="FF000000"/>
      </right>
      <top style="thick">
        <color rgb="FF000000"/>
      </top>
    </border>
    <border>
      <left style="thick">
        <color rgb="FF000000"/>
      </left>
      <right style="thick">
        <color rgb="FF000000"/>
      </right>
      <top style="thick">
        <color rgb="FF000000"/>
      </top>
    </border>
    <border>
      <right style="thick">
        <color rgb="FFFF0000"/>
      </right>
      <top style="thick">
        <color rgb="FF000000"/>
      </top>
    </border>
    <border>
      <right style="thick">
        <color rgb="FF000000"/>
      </right>
      <bottom style="thick">
        <color rgb="FF274E13"/>
      </bottom>
    </border>
    <border>
      <right style="thick">
        <color rgb="FF000000"/>
      </right>
      <top style="thick">
        <color rgb="FF000000"/>
      </top>
    </border>
    <border>
      <left style="thick">
        <color rgb="FFFF0000"/>
      </left>
      <right style="thick">
        <color rgb="FF000000"/>
      </right>
    </border>
    <border>
      <left style="thick">
        <color rgb="FF000000"/>
      </left>
      <right style="thick">
        <color rgb="FF000000"/>
      </right>
    </border>
    <border>
      <right style="thick">
        <color rgb="FFFF0000"/>
      </right>
    </border>
    <border>
      <left style="thick">
        <color rgb="FF00FFFF"/>
      </left>
      <top style="thick">
        <color rgb="FF00FFFF"/>
      </top>
    </border>
    <border>
      <top style="thick">
        <color rgb="FF00FFFF"/>
      </top>
    </border>
    <border>
      <right style="thick">
        <color rgb="FF00FFFF"/>
      </right>
      <top style="thick">
        <color rgb="FF00FFFF"/>
      </top>
    </border>
    <border>
      <left style="thick">
        <color rgb="FF00FFFF"/>
      </left>
      <bottom style="thick">
        <color rgb="FF00FFFF"/>
      </bottom>
    </border>
    <border>
      <bottom style="thick">
        <color rgb="FF00FFFF"/>
      </bottom>
    </border>
    <border>
      <right style="thick">
        <color rgb="FF00FFFF"/>
      </right>
      <bottom style="thick">
        <color rgb="FF00FFFF"/>
      </bottom>
    </border>
    <border>
      <left style="thick">
        <color rgb="FF15D5CD"/>
      </left>
    </border>
    <border>
      <right style="thick">
        <color rgb="FF15D5CD"/>
      </right>
    </border>
    <border>
      <left style="thick">
        <color rgb="FF15D5CD"/>
      </left>
      <bottom style="thick">
        <color rgb="FF000000"/>
      </bottom>
    </border>
    <border>
      <right style="thick">
        <color rgb="FF15D5CD"/>
      </right>
      <bottom style="thick">
        <color rgb="FF000000"/>
      </bottom>
    </border>
    <border>
      <left style="thick">
        <color rgb="FF00FFFF"/>
      </left>
      <bottom style="thick">
        <color rgb="FF000000"/>
      </bottom>
    </border>
    <border>
      <right style="thick">
        <color rgb="FF00FFFF"/>
      </right>
      <bottom style="thick">
        <color rgb="FF000000"/>
      </bottom>
    </border>
    <border>
      <left style="thick">
        <color rgb="FF00FFFF"/>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right style="thick">
        <color rgb="FF00FFFF"/>
      </right>
      <top style="thick">
        <color rgb="FF000000"/>
      </top>
      <bottom style="thick">
        <color rgb="FF000000"/>
      </bottom>
    </border>
    <border>
      <left style="thick">
        <color rgb="FF9900FF"/>
      </left>
      <top style="thick">
        <color rgb="FF9900FF"/>
      </top>
    </border>
    <border>
      <top style="thick">
        <color rgb="FF9900FF"/>
      </top>
    </border>
    <border>
      <left style="thick">
        <color rgb="FF00FFFF"/>
      </left>
      <top style="thick">
        <color rgb="FF000000"/>
      </top>
    </border>
    <border>
      <right style="thick">
        <color rgb="FF00FFFF"/>
      </right>
      <top style="thick">
        <color rgb="FF000000"/>
      </top>
    </border>
    <border>
      <left style="thick">
        <color rgb="FF9900FF"/>
      </left>
      <bottom style="thick">
        <color rgb="FF9900FF"/>
      </bottom>
    </border>
    <border>
      <left style="thick">
        <color rgb="FF00FFFF"/>
      </left>
    </border>
    <border>
      <right style="thick">
        <color rgb="FF00FFFF"/>
      </right>
    </border>
    <border>
      <left style="thick">
        <color rgb="FFBF9000"/>
      </left>
    </border>
    <border>
      <right style="thick">
        <color rgb="FFBF9000"/>
      </right>
    </border>
    <border>
      <right style="thick">
        <color rgb="FF000000"/>
      </right>
      <bottom style="thick">
        <color rgb="FF9900FF"/>
      </bottom>
    </border>
    <border>
      <left style="thick">
        <color rgb="FF000000"/>
      </left>
      <bottom style="thick">
        <color rgb="FF9900FF"/>
      </bottom>
    </border>
    <border>
      <right style="thick">
        <color rgb="FF000000"/>
      </right>
      <bottom style="thick">
        <color rgb="FF00FFFF"/>
      </bottom>
    </border>
    <border>
      <left style="thick">
        <color rgb="FF000000"/>
      </left>
      <bottom style="thick">
        <color rgb="FF00FFFF"/>
      </bottom>
    </border>
    <border>
      <left style="thick">
        <color rgb="FF45818E"/>
      </left>
      <top style="thick">
        <color rgb="FF45818E"/>
      </top>
    </border>
    <border>
      <top style="thick">
        <color rgb="FF45818E"/>
      </top>
    </border>
    <border>
      <right style="thick">
        <color rgb="FF45818E"/>
      </right>
      <top style="thick">
        <color rgb="FF45818E"/>
      </top>
    </border>
    <border>
      <left style="thick">
        <color rgb="FF45818E"/>
      </left>
      <bottom style="thick">
        <color rgb="FF45818E"/>
      </bottom>
    </border>
    <border>
      <bottom style="thick">
        <color rgb="FF45818E"/>
      </bottom>
    </border>
    <border>
      <right style="thick">
        <color rgb="FF45818E"/>
      </right>
      <bottom style="thick">
        <color rgb="FF45818E"/>
      </bottom>
    </border>
    <border>
      <left style="thick">
        <color rgb="FF45818E"/>
      </left>
    </border>
    <border>
      <right style="thick">
        <color rgb="FF45818E"/>
      </right>
    </border>
    <border>
      <left style="thick">
        <color rgb="FF9900FF"/>
      </left>
      <bottom style="thick">
        <color rgb="FF000000"/>
      </bottom>
    </border>
    <border>
      <right style="thick">
        <color rgb="FF9900FF"/>
      </right>
      <bottom style="thick">
        <color rgb="FF000000"/>
      </bottom>
    </border>
    <border>
      <left style="thick">
        <color rgb="FFBF9000"/>
      </left>
      <bottom style="thick">
        <color rgb="FFBF9000"/>
      </bottom>
    </border>
    <border>
      <bottom style="thick">
        <color rgb="FFBF9000"/>
      </bottom>
    </border>
    <border>
      <left style="thick">
        <color rgb="FF9900FF"/>
      </left>
      <right style="thick">
        <color rgb="FF9900FF"/>
      </right>
      <top style="thick">
        <color rgb="FF9900FF"/>
      </top>
      <bottom style="thick">
        <color rgb="FF9900FF"/>
      </bottom>
    </border>
    <border>
      <left style="thick">
        <color rgb="FFFF0000"/>
      </left>
      <right style="thick">
        <color rgb="FF000000"/>
      </right>
      <bottom style="thick">
        <color rgb="FFFF0000"/>
      </bottom>
    </border>
    <border>
      <left style="thick">
        <color rgb="FF000000"/>
      </left>
      <right style="thick">
        <color rgb="FF000000"/>
      </right>
      <bottom style="thick">
        <color rgb="FFFF0000"/>
      </bottom>
    </border>
    <border>
      <left style="thick">
        <color rgb="FF45818E"/>
      </left>
      <top style="thick">
        <color rgb="FF45818E"/>
      </top>
      <bottom style="thick">
        <color rgb="FF45818E"/>
      </bottom>
    </border>
    <border>
      <left style="thick">
        <color rgb="FF000000"/>
      </left>
      <right style="thick">
        <color rgb="FF000000"/>
      </right>
      <top style="thick">
        <color rgb="FF45818E"/>
      </top>
      <bottom style="thick">
        <color rgb="FF45818E"/>
      </bottom>
    </border>
    <border>
      <right style="thick">
        <color rgb="FF45818E"/>
      </right>
      <top style="thick">
        <color rgb="FF45818E"/>
      </top>
      <bottom style="thick">
        <color rgb="FF45818E"/>
      </bottom>
    </border>
    <border>
      <left style="thick">
        <color rgb="FFFFFF00"/>
      </left>
      <top style="thick">
        <color rgb="FFFFFF00"/>
      </top>
    </border>
    <border>
      <top style="thick">
        <color rgb="FFFFFF00"/>
      </top>
    </border>
    <border>
      <right style="thick">
        <color rgb="FFFFFF00"/>
      </right>
      <top style="thick">
        <color rgb="FFFFFF00"/>
      </top>
    </border>
    <border>
      <left style="thick">
        <color rgb="FF9900FF"/>
      </left>
      <right style="thick">
        <color rgb="FF9900FF"/>
      </right>
      <top style="thick">
        <color rgb="FF9900FF"/>
      </top>
    </border>
    <border>
      <left style="thick">
        <color rgb="FF9900FF"/>
      </left>
      <top style="thick">
        <color rgb="FF000000"/>
      </top>
    </border>
    <border>
      <left style="thick">
        <color rgb="FFFFFF00"/>
      </left>
      <bottom style="thick">
        <color rgb="FFFFFF48"/>
      </bottom>
    </border>
    <border>
      <bottom style="thick">
        <color rgb="FFFFFF48"/>
      </bottom>
    </border>
    <border>
      <right style="thick">
        <color rgb="FFFFFF00"/>
      </right>
      <bottom style="thick">
        <color rgb="FFFFFF48"/>
      </bottom>
    </border>
    <border>
      <left style="thick">
        <color rgb="FFFFFF00"/>
      </left>
      <right style="thick">
        <color rgb="FF000000"/>
      </right>
      <bottom style="thick">
        <color rgb="FFFFFF00"/>
      </bottom>
    </border>
    <border>
      <left style="thick">
        <color rgb="FF000000"/>
      </left>
      <right style="thick">
        <color rgb="FF000000"/>
      </right>
      <bottom style="thick">
        <color rgb="FFFFFF00"/>
      </bottom>
    </border>
    <border>
      <bottom style="thick">
        <color rgb="FFFFFF00"/>
      </bottom>
    </border>
    <border>
      <left style="thick">
        <color rgb="FF000000"/>
      </left>
      <right style="thick">
        <color rgb="FFFFFF00"/>
      </right>
      <bottom style="thick">
        <color rgb="FFFFFF00"/>
      </bottom>
    </border>
    <border>
      <left style="thick">
        <color rgb="FF000000"/>
      </left>
      <right style="thick">
        <color rgb="FF000000"/>
      </right>
      <top style="thick">
        <color rgb="FFFFFF00"/>
      </top>
    </border>
    <border>
      <left style="thick">
        <color rgb="FF000000"/>
      </left>
      <right style="thick">
        <color rgb="FFFFFF00"/>
      </right>
      <top style="thick">
        <color rgb="FFFFFF00"/>
      </top>
    </border>
    <border>
      <left style="thick">
        <color rgb="FF38761D"/>
      </left>
      <top style="thick">
        <color rgb="FF38761D"/>
      </top>
      <bottom style="thick">
        <color rgb="FF38761D"/>
      </bottom>
    </border>
    <border>
      <right style="thick">
        <color rgb="FF38761D"/>
      </right>
      <top style="thick">
        <color rgb="FF38761D"/>
      </top>
      <bottom style="thick">
        <color rgb="FF38761D"/>
      </bottom>
    </border>
    <border>
      <left style="thick">
        <color rgb="FFFFFF00"/>
      </left>
      <right style="thick">
        <color rgb="FF000000"/>
      </right>
    </border>
    <border>
      <left style="thick">
        <color rgb="FF000000"/>
      </left>
      <right style="thick">
        <color rgb="FFFFFF00"/>
      </right>
    </border>
    <border>
      <left style="thick">
        <color rgb="FF990000"/>
      </left>
      <right style="thick">
        <color rgb="FF990000"/>
      </right>
      <top style="thick">
        <color rgb="FF990000"/>
      </top>
    </border>
    <border>
      <left style="thick">
        <color rgb="FF38761D"/>
      </left>
    </border>
    <border>
      <right style="thick">
        <color rgb="FF38761D"/>
      </right>
    </border>
    <border>
      <left style="thick">
        <color rgb="FF990000"/>
      </left>
      <right style="thick">
        <color rgb="FF990000"/>
      </right>
      <bottom style="thick">
        <color rgb="FF990000"/>
      </bottom>
    </border>
    <border>
      <left style="thick">
        <color rgb="FF000000"/>
      </left>
      <right style="thick">
        <color rgb="FF000000"/>
      </right>
      <bottom style="thick">
        <color rgb="FF45818E"/>
      </bottom>
    </border>
    <border>
      <left style="thick">
        <color rgb="FFFFFF00"/>
      </left>
    </border>
    <border>
      <left style="thick">
        <color rgb="FF6AA84F"/>
      </left>
      <top style="thick">
        <color rgb="FF6AA84F"/>
      </top>
    </border>
    <border>
      <top style="thick">
        <color rgb="FF6AA84F"/>
      </top>
    </border>
    <border>
      <right style="thick">
        <color rgb="FF6AA84F"/>
      </right>
      <top style="thick">
        <color rgb="FF6AA84F"/>
      </top>
    </border>
    <border>
      <left style="thick">
        <color rgb="FF6AA84F"/>
      </left>
      <bottom style="thick">
        <color rgb="FF38761D"/>
      </bottom>
    </border>
    <border>
      <right style="thick">
        <color rgb="FF6AA84F"/>
      </right>
      <bottom style="thick">
        <color rgb="FF38761D"/>
      </bottom>
    </border>
    <border>
      <left style="thick">
        <color rgb="FF6AA84F"/>
      </left>
    </border>
    <border>
      <left style="thick">
        <color rgb="FF85200C"/>
      </left>
      <top style="thick">
        <color rgb="FF85200C"/>
      </top>
    </border>
    <border>
      <top style="thick">
        <color rgb="FF85200C"/>
      </top>
    </border>
    <border>
      <right style="thick">
        <color rgb="FF85200C"/>
      </right>
    </border>
    <border>
      <left style="thick">
        <color rgb="FF85200C"/>
      </left>
      <right style="thick">
        <color rgb="FF85200C"/>
      </right>
      <top style="thick">
        <color rgb="FF85200C"/>
      </top>
    </border>
    <border>
      <left style="thick">
        <color rgb="FF85200C"/>
      </left>
      <bottom style="thick">
        <color rgb="FF85200C"/>
      </bottom>
    </border>
    <border>
      <bottom style="thick">
        <color rgb="FF85200C"/>
      </bottom>
    </border>
    <border>
      <right style="thick">
        <color rgb="FF85200C"/>
      </right>
      <bottom style="thick">
        <color rgb="FF85200C"/>
      </bottom>
    </border>
    <border>
      <left style="thick">
        <color rgb="FF85200C"/>
      </left>
      <right style="thick">
        <color rgb="FF85200C"/>
      </right>
      <bottom style="thick">
        <color rgb="FF85200C"/>
      </bottom>
    </border>
    <border>
      <left style="thick">
        <color rgb="FF85200C"/>
      </left>
      <top style="thick">
        <color rgb="FF85200C"/>
      </top>
      <bottom style="thick">
        <color rgb="FF85200C"/>
      </bottom>
    </border>
    <border>
      <right style="thick">
        <color rgb="FF85200C"/>
      </right>
      <top style="thick">
        <color rgb="FF85200C"/>
      </top>
      <bottom style="thick">
        <color rgb="FF85200C"/>
      </bottom>
    </border>
    <border>
      <top style="thick">
        <color rgb="FF85200C"/>
      </top>
      <bottom style="thick">
        <color rgb="FF85200C"/>
      </bottom>
    </border>
    <border>
      <left style="thick">
        <color rgb="FF85200C"/>
      </left>
    </border>
    <border>
      <left style="thick">
        <color rgb="FF6AA84F"/>
      </left>
      <top style="thick">
        <color rgb="FF000000"/>
      </top>
    </border>
    <border>
      <left style="thick">
        <color rgb="FFF1C232"/>
      </left>
      <right style="thick">
        <color rgb="FF000000"/>
      </right>
      <top style="thick">
        <color rgb="FF000000"/>
      </top>
    </border>
    <border>
      <right style="thick">
        <color rgb="FFF1C232"/>
      </right>
      <top style="thick">
        <color rgb="FF000000"/>
      </top>
    </border>
    <border>
      <left style="thick">
        <color rgb="FFF1C232"/>
      </left>
      <right style="thick">
        <color rgb="FF000000"/>
      </right>
      <top style="thick">
        <color rgb="FF000000"/>
      </top>
      <bottom style="thick">
        <color rgb="FFFFFF00"/>
      </bottom>
    </border>
    <border>
      <top style="thick">
        <color rgb="FF000000"/>
      </top>
      <bottom style="thick">
        <color rgb="FFFFFF00"/>
      </bottom>
    </border>
    <border>
      <right style="thick">
        <color rgb="FF000000"/>
      </right>
      <top style="thick">
        <color rgb="FF000000"/>
      </top>
      <bottom style="thick">
        <color rgb="FFFFFF00"/>
      </bottom>
    </border>
    <border>
      <right style="thick">
        <color rgb="FFF1C232"/>
      </right>
      <top style="thick">
        <color rgb="FF000000"/>
      </top>
      <bottom style="thick">
        <color rgb="FFFFFF00"/>
      </bottom>
    </border>
    <border>
      <left style="thick">
        <color rgb="FF6AA84F"/>
      </left>
      <bottom style="thick">
        <color rgb="FF6AA84F"/>
      </bottom>
    </border>
    <border>
      <bottom style="thick">
        <color rgb="FF6AA84F"/>
      </bottom>
    </border>
    <border>
      <right style="thick">
        <color rgb="FF6AA84F"/>
      </right>
      <bottom style="thick">
        <color rgb="FF6AA84F"/>
      </bottom>
    </border>
    <border>
      <right style="thick">
        <color rgb="FF6AA84F"/>
      </right>
    </border>
    <border>
      <right style="thick">
        <color rgb="FF000000"/>
      </right>
      <bottom style="thick">
        <color rgb="FF6AA84F"/>
      </bottom>
    </border>
    <border>
      <left style="thick">
        <color rgb="FF000000"/>
      </left>
      <bottom style="thick">
        <color rgb="FF6AA84F"/>
      </bottom>
    </border>
    <border>
      <right style="thick">
        <color rgb="FFB45F06"/>
      </right>
    </border>
    <border>
      <right style="thick">
        <color rgb="FF0000FF"/>
      </right>
    </border>
    <border>
      <left style="thick">
        <color rgb="FF000000"/>
      </left>
      <top style="medium">
        <color rgb="FF000000"/>
      </top>
    </border>
    <border>
      <right style="thick">
        <color rgb="FF000000"/>
      </right>
      <top style="medium">
        <color rgb="FF000000"/>
      </top>
    </border>
    <border>
      <left style="thick">
        <color rgb="FF990000"/>
      </left>
      <top style="thick">
        <color rgb="FF990000"/>
      </top>
    </border>
    <border>
      <top style="thick">
        <color rgb="FF990000"/>
      </top>
    </border>
    <border>
      <right style="thick">
        <color rgb="FF990000"/>
      </right>
      <top style="thick">
        <color rgb="FF990000"/>
      </top>
    </border>
    <border>
      <left style="thick">
        <color rgb="FF000000"/>
      </left>
      <bottom style="medium">
        <color rgb="FF000000"/>
      </bottom>
    </border>
    <border>
      <right style="thick">
        <color rgb="FF000000"/>
      </right>
      <bottom style="medium">
        <color rgb="FF000000"/>
      </bottom>
    </border>
    <border>
      <left style="thick">
        <color rgb="FF990000"/>
      </left>
      <bottom style="thick">
        <color rgb="FF000000"/>
      </bottom>
    </border>
    <border>
      <right style="thick">
        <color rgb="FF990000"/>
      </right>
      <bottom style="thick">
        <color rgb="FF000000"/>
      </bottom>
    </border>
    <border>
      <left style="thick">
        <color rgb="FF990000"/>
      </left>
      <top style="thick">
        <color rgb="FF000000"/>
      </top>
    </border>
    <border>
      <right style="thick">
        <color rgb="FF990000"/>
      </right>
      <top style="thick">
        <color rgb="FF000000"/>
      </top>
    </border>
    <border>
      <left style="thick">
        <color rgb="FF0000FF"/>
      </left>
      <top style="thick">
        <color rgb="FF000000"/>
      </top>
    </border>
    <border>
      <right style="thick">
        <color rgb="FF0000FF"/>
      </right>
      <top style="thick">
        <color rgb="FF000000"/>
      </top>
    </border>
    <border>
      <left style="thick">
        <color rgb="FF990000"/>
      </left>
      <top style="thick">
        <color rgb="FF000000"/>
      </top>
      <bottom style="thick">
        <color rgb="FF000000"/>
      </bottom>
    </border>
    <border>
      <right style="thick">
        <color rgb="FF990000"/>
      </right>
      <top style="thick">
        <color rgb="FF000000"/>
      </top>
      <bottom style="thick">
        <color rgb="FF000000"/>
      </bottom>
    </border>
    <border>
      <left style="thick">
        <color rgb="FF990000"/>
      </left>
    </border>
    <border>
      <right style="thick">
        <color rgb="FF990000"/>
      </right>
    </border>
    <border>
      <right style="thick">
        <color rgb="FF0000FF"/>
      </right>
      <bottom style="thick">
        <color rgb="FF000000"/>
      </bottom>
    </border>
    <border>
      <left style="thick">
        <color rgb="FFB45F06"/>
      </left>
    </border>
    <border>
      <left style="thick">
        <color rgb="FFB45F06"/>
      </left>
      <bottom style="thick">
        <color rgb="FFB45F06"/>
      </bottom>
    </border>
    <border>
      <right style="thick">
        <color rgb="FFB45F06"/>
      </right>
      <bottom style="thick">
        <color rgb="FFB45F06"/>
      </bottom>
    </border>
    <border>
      <left style="thick">
        <color rgb="FF980000"/>
      </left>
      <top style="thick">
        <color rgb="FF980000"/>
      </top>
      <bottom style="thick">
        <color rgb="FF980000"/>
      </bottom>
    </border>
    <border>
      <top style="thick">
        <color rgb="FF980000"/>
      </top>
      <bottom style="thick">
        <color rgb="FF980000"/>
      </bottom>
    </border>
    <border>
      <right style="thick">
        <color rgb="FF980000"/>
      </right>
      <top style="thick">
        <color rgb="FF980000"/>
      </top>
      <bottom style="thick">
        <color rgb="FF980000"/>
      </bottom>
    </border>
    <border>
      <left style="thick">
        <color rgb="FFFFFF48"/>
      </left>
      <top style="thick">
        <color rgb="FFFFFF48"/>
      </top>
    </border>
    <border>
      <top style="thick">
        <color rgb="FFFFFF48"/>
      </top>
    </border>
    <border>
      <right style="thick">
        <color rgb="FF434343"/>
      </right>
      <top style="thick">
        <color rgb="FFFFFF48"/>
      </top>
    </border>
    <border>
      <left style="thick">
        <color rgb="FFCC0000"/>
      </left>
      <top style="thick">
        <color rgb="FFCC0000"/>
      </top>
    </border>
    <border>
      <top style="thick">
        <color rgb="FFCC0000"/>
      </top>
    </border>
    <border>
      <right style="thick">
        <color rgb="FFCC0000"/>
      </right>
      <top style="thick">
        <color rgb="FFCC0000"/>
      </top>
    </border>
    <border>
      <left style="thick">
        <color rgb="FFFFFF48"/>
      </left>
      <bottom style="thick">
        <color rgb="FFFFFF48"/>
      </bottom>
    </border>
    <border>
      <right style="thick">
        <color rgb="FF434343"/>
      </right>
      <bottom style="thick">
        <color rgb="FFFFFF48"/>
      </bottom>
    </border>
    <border>
      <left style="thick">
        <color rgb="FFCC0000"/>
      </left>
      <bottom style="thick">
        <color rgb="FFCC0000"/>
      </bottom>
    </border>
    <border>
      <bottom style="thick">
        <color rgb="FFCC0000"/>
      </bottom>
    </border>
    <border>
      <right style="thick">
        <color rgb="FFCC0000"/>
      </right>
      <bottom style="thick">
        <color rgb="FFCC0000"/>
      </bottom>
    </border>
    <border>
      <left style="thick">
        <color rgb="FFFFFF00"/>
      </left>
      <bottom style="thick">
        <color rgb="FFFFFF00"/>
      </bottom>
    </border>
    <border>
      <right style="thick">
        <color rgb="FF000000"/>
      </right>
      <bottom style="thick">
        <color rgb="FFFFFF00"/>
      </bottom>
    </border>
    <border>
      <left style="thick">
        <color rgb="FF000000"/>
      </left>
      <bottom style="thick">
        <color rgb="FFFFFF00"/>
      </bottom>
    </border>
    <border>
      <right style="thick">
        <color rgb="FF434343"/>
      </right>
      <bottom style="thick">
        <color rgb="FFFFFF00"/>
      </bottom>
    </border>
    <border>
      <left style="thick">
        <color rgb="FF000000"/>
      </left>
      <bottom style="thick">
        <color rgb="FFFF0000"/>
      </bottom>
    </border>
    <border>
      <left style="thick">
        <color rgb="FFFF0000"/>
      </left>
      <right style="thick">
        <color rgb="FFFF0000"/>
      </right>
      <bottom style="thick">
        <color rgb="FFFF0000"/>
      </bottom>
    </border>
    <border>
      <right style="thick">
        <color rgb="FFCC0000"/>
      </right>
      <bottom style="thick">
        <color rgb="FFFF0000"/>
      </bottom>
    </border>
    <border>
      <left style="thick">
        <color rgb="FFFFFF48"/>
      </left>
    </border>
    <border>
      <right style="thick">
        <color rgb="FF434343"/>
      </right>
    </border>
    <border>
      <right style="thick">
        <color rgb="FFCC0000"/>
      </right>
    </border>
    <border>
      <left style="thick">
        <color rgb="FF000000"/>
      </left>
      <right style="thick">
        <color rgb="FFCC0000"/>
      </right>
    </border>
    <border>
      <right style="thick">
        <color rgb="FF000000"/>
      </right>
      <bottom style="thick">
        <color rgb="FFFFFF48"/>
      </bottom>
    </border>
    <border>
      <left style="thick">
        <color rgb="FF000000"/>
      </left>
      <bottom style="thick">
        <color rgb="FFFFFF48"/>
      </bottom>
    </border>
    <border>
      <left style="thick">
        <color rgb="FF000000"/>
      </left>
      <right style="thick">
        <color rgb="FF000000"/>
      </right>
      <bottom style="thick">
        <color rgb="FFFFFF48"/>
      </bottom>
    </border>
    <border>
      <left style="thick">
        <color rgb="FF000000"/>
      </left>
      <right style="thick">
        <color rgb="FFCC0000"/>
      </right>
      <bottom style="thick">
        <color rgb="FFCC0000"/>
      </bottom>
    </border>
    <border>
      <left style="thick">
        <color rgb="FF000000"/>
      </left>
      <right style="thick">
        <color rgb="FFCC0000"/>
      </right>
      <bottom style="thick">
        <color rgb="FFFF0000"/>
      </bottom>
    </border>
    <border>
      <right style="thick">
        <color rgb="FFCC0000"/>
      </right>
      <top style="thick">
        <color rgb="FF000000"/>
      </top>
    </border>
    <border>
      <left style="thick">
        <color rgb="FFFF0000"/>
      </left>
      <right style="thick">
        <color rgb="FFFF0000"/>
      </right>
      <top style="thick">
        <color rgb="FFFF0000"/>
      </top>
    </border>
    <border>
      <left style="thick">
        <color rgb="FFFF0000"/>
      </left>
      <right style="thick">
        <color rgb="FFFF0000"/>
      </right>
    </border>
    <border>
      <left style="thick">
        <color rgb="FF000000"/>
      </left>
      <right style="thick">
        <color rgb="FF000000"/>
      </right>
      <bottom style="thick">
        <color rgb="FFCC0000"/>
      </bottom>
    </border>
    <border>
      <left style="thick">
        <color rgb="FF000000"/>
      </left>
      <bottom style="thick">
        <color rgb="FFCC0000"/>
      </bottom>
    </border>
    <border>
      <left style="thick">
        <color rgb="FFFF0000"/>
      </left>
      <top style="thick">
        <color rgb="FF000000"/>
      </top>
      <bottom style="thick">
        <color rgb="FFFF0000"/>
      </bottom>
    </border>
    <border>
      <top style="thick">
        <color rgb="FF000000"/>
      </top>
      <bottom style="thick">
        <color rgb="FFFF0000"/>
      </bottom>
    </border>
    <border>
      <right style="thick">
        <color rgb="FFFF0000"/>
      </right>
      <top style="thick">
        <color rgb="FF000000"/>
      </top>
      <bottom style="thick">
        <color rgb="FFFF0000"/>
      </bottom>
    </border>
    <border>
      <left style="thick">
        <color rgb="FFFF0000"/>
      </left>
      <right style="thick">
        <color rgb="FF000000"/>
      </right>
      <top style="thick">
        <color rgb="FF000000"/>
      </top>
      <bottom style="thick">
        <color rgb="FFFF0000"/>
      </bottom>
    </border>
    <border>
      <left style="thick">
        <color rgb="FF000000"/>
      </left>
      <top style="thick">
        <color rgb="FF000000"/>
      </top>
      <bottom style="thick">
        <color rgb="FFFF0000"/>
      </bottom>
    </border>
    <border>
      <right style="thick">
        <color rgb="FFCC0000"/>
      </right>
      <top style="thick">
        <color rgb="FF000000"/>
      </top>
      <bottom style="thick">
        <color rgb="FFFF0000"/>
      </bottom>
    </border>
    <border>
      <left style="thick">
        <color rgb="FFFFFF00"/>
      </left>
      <right style="thick">
        <color rgb="FF000000"/>
      </right>
      <top style="thick">
        <color rgb="FFFFFF00"/>
      </top>
    </border>
    <border>
      <right style="thick">
        <color rgb="FF000000"/>
      </right>
      <top style="thick">
        <color rgb="FFFFFF00"/>
      </top>
    </border>
    <border>
      <left style="thick">
        <color rgb="FFFFFF00"/>
      </left>
      <right style="thick">
        <color rgb="FF000000"/>
      </right>
      <top style="thick">
        <color rgb="FF000000"/>
      </top>
      <bottom style="thick">
        <color rgb="FFFFFF00"/>
      </bottom>
    </border>
    <border>
      <right style="thick">
        <color rgb="FFFFFF00"/>
      </right>
      <top style="thick">
        <color rgb="FF000000"/>
      </top>
      <bottom style="thick">
        <color rgb="FFFFFF00"/>
      </bottom>
    </border>
    <border>
      <left style="thick">
        <color rgb="FF000000"/>
      </left>
      <right style="thick">
        <color rgb="FF000000"/>
      </right>
      <top style="thick">
        <color rgb="FF000000"/>
      </top>
      <bottom style="thick">
        <color rgb="FF000000"/>
      </bottom>
    </border>
    <border>
      <left style="thick">
        <color rgb="FF000000"/>
      </left>
      <top style="medium">
        <color rgb="FF000000"/>
      </top>
      <bottom style="medium">
        <color rgb="FF000000"/>
      </bottom>
    </border>
    <border>
      <left style="thick">
        <color rgb="FF000000"/>
      </left>
      <right style="thick">
        <color rgb="FF000000"/>
      </right>
      <bottom style="medium">
        <color rgb="FF000000"/>
      </bottom>
    </border>
    <border>
      <bottom style="medium">
        <color rgb="FF000000"/>
      </bottom>
    </border>
    <border>
      <left style="thick">
        <color rgb="FF000000"/>
      </left>
      <right style="thick">
        <color rgb="FF000000"/>
      </right>
      <top style="thick">
        <color rgb="FF000000"/>
      </top>
      <bottom style="medium">
        <color rgb="FF000000"/>
      </bottom>
    </border>
    <border>
      <left style="thick">
        <color rgb="FF000000"/>
      </left>
      <right style="thick">
        <color rgb="FF000000"/>
      </right>
      <top style="medium">
        <color rgb="FF000000"/>
      </top>
      <bottom style="medium">
        <color rgb="FF000000"/>
      </bottom>
    </border>
    <border>
      <top style="medium">
        <color rgb="FF000000"/>
      </top>
      <bottom style="medium">
        <color rgb="FF000000"/>
      </bottom>
    </border>
    <border>
      <right style="thick">
        <color rgb="FF000000"/>
      </right>
      <top style="medium">
        <color rgb="FF000000"/>
      </top>
      <bottom style="medium">
        <color rgb="FF000000"/>
      </bottom>
    </border>
    <border>
      <left style="thick">
        <color rgb="FF000000"/>
      </left>
      <right style="thick">
        <color rgb="FF000000"/>
      </right>
      <top style="medium">
        <color rgb="FF000000"/>
      </top>
    </border>
    <border>
      <top style="medium">
        <color rgb="FF000000"/>
      </top>
    </border>
  </borders>
  <cellStyleXfs count="1">
    <xf borderId="0" fillId="0" fontId="0" numFmtId="0" applyAlignment="1" applyFont="1"/>
  </cellStyleXfs>
  <cellXfs count="1145">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vertical="center"/>
    </xf>
    <xf borderId="0" fillId="2" fontId="3" numFmtId="0" xfId="0" applyAlignment="1" applyFont="1">
      <alignment horizontal="center" readingOrder="0" vertical="center"/>
    </xf>
    <xf borderId="0" fillId="2" fontId="4" numFmtId="0" xfId="0" applyAlignment="1" applyFont="1">
      <alignment horizontal="center" readingOrder="0" vertical="center"/>
    </xf>
    <xf borderId="0" fillId="3" fontId="5" numFmtId="0" xfId="0" applyAlignment="1" applyFill="1" applyFont="1">
      <alignment horizontal="center" readingOrder="0" vertical="center"/>
    </xf>
    <xf borderId="0" fillId="4" fontId="6" numFmtId="0" xfId="0" applyAlignment="1" applyFill="1" applyFont="1">
      <alignment horizontal="center" textRotation="0" vertical="center"/>
    </xf>
    <xf borderId="0" fillId="5" fontId="7" numFmtId="0" xfId="0" applyAlignment="1" applyFill="1" applyFont="1">
      <alignment horizontal="center" readingOrder="0" vertical="center"/>
    </xf>
    <xf borderId="0" fillId="6" fontId="8" numFmtId="0" xfId="0" applyAlignment="1" applyFill="1" applyFont="1">
      <alignment horizontal="center" readingOrder="0" vertical="center"/>
    </xf>
    <xf borderId="0" fillId="5" fontId="9" numFmtId="0" xfId="0" applyAlignment="1" applyFont="1">
      <alignment horizontal="left" readingOrder="0" vertical="center"/>
    </xf>
    <xf borderId="0" fillId="3" fontId="2" numFmtId="0" xfId="0" applyAlignment="1" applyFont="1">
      <alignment horizontal="center" vertical="center"/>
    </xf>
    <xf borderId="0" fillId="5" fontId="10" numFmtId="0" xfId="0" applyAlignment="1" applyFont="1">
      <alignment horizontal="right" readingOrder="0" vertical="center"/>
    </xf>
    <xf borderId="0" fillId="5" fontId="11" numFmtId="0" xfId="0" applyAlignment="1" applyFont="1">
      <alignment horizontal="left" readingOrder="0" vertical="center"/>
    </xf>
    <xf borderId="0" fillId="5" fontId="12" numFmtId="0" xfId="0" applyAlignment="1" applyFont="1">
      <alignment horizontal="center" readingOrder="0" vertical="center"/>
    </xf>
    <xf borderId="0" fillId="5" fontId="13" numFmtId="0" xfId="0" applyAlignment="1" applyFont="1">
      <alignment horizontal="center" readingOrder="0" vertical="center"/>
    </xf>
    <xf borderId="0" fillId="4" fontId="2" numFmtId="0" xfId="0" applyAlignment="1" applyFont="1">
      <alignment horizontal="center" vertical="center"/>
    </xf>
    <xf borderId="0" fillId="6" fontId="10" numFmtId="0" xfId="0" applyAlignment="1" applyFont="1">
      <alignment horizontal="center" readingOrder="0" vertical="center"/>
    </xf>
    <xf borderId="0" fillId="6" fontId="14" numFmtId="0" xfId="0" applyAlignment="1" applyFont="1">
      <alignment horizontal="center" readingOrder="0" vertical="center"/>
    </xf>
    <xf borderId="0" fillId="6" fontId="12" numFmtId="0" xfId="0" applyAlignment="1" applyFont="1">
      <alignment horizontal="center" readingOrder="0" vertical="center"/>
    </xf>
    <xf borderId="0" fillId="5" fontId="12" numFmtId="0" xfId="0" applyAlignment="1" applyFont="1">
      <alignment horizontal="left" readingOrder="0" vertical="center"/>
    </xf>
    <xf borderId="0" fillId="6" fontId="15" numFmtId="0" xfId="0" applyFont="1"/>
    <xf borderId="0" fillId="6" fontId="12" numFmtId="164" xfId="0" applyAlignment="1" applyFont="1" applyNumberFormat="1">
      <alignment horizontal="center" readingOrder="0" vertical="center"/>
    </xf>
    <xf borderId="0" fillId="5" fontId="13" numFmtId="0" xfId="0" applyAlignment="1" applyFont="1">
      <alignment horizontal="right" readingOrder="0" vertical="center"/>
    </xf>
    <xf borderId="0" fillId="5" fontId="16" numFmtId="0" xfId="0" applyAlignment="1" applyFont="1">
      <alignment horizontal="left" readingOrder="0" vertical="center"/>
    </xf>
    <xf borderId="0" fillId="7" fontId="17" numFmtId="0" xfId="0" applyAlignment="1" applyFill="1" applyFont="1">
      <alignment horizontal="center" readingOrder="0" vertical="center"/>
    </xf>
    <xf borderId="0" fillId="4" fontId="18" numFmtId="0" xfId="0" applyAlignment="1" applyFont="1">
      <alignment horizontal="center" vertical="center"/>
    </xf>
    <xf borderId="0" fillId="5" fontId="13" numFmtId="0" xfId="0" applyAlignment="1" applyFont="1">
      <alignment horizontal="left" readingOrder="0" vertical="center"/>
    </xf>
    <xf borderId="0" fillId="7" fontId="2" numFmtId="0" xfId="0" applyAlignment="1" applyFont="1">
      <alignment horizontal="center" vertical="center"/>
    </xf>
    <xf borderId="0" fillId="6" fontId="12" numFmtId="0" xfId="0" applyAlignment="1" applyFont="1">
      <alignment horizontal="center" vertical="center"/>
    </xf>
    <xf borderId="0" fillId="5" fontId="19" numFmtId="0" xfId="0" applyAlignment="1" applyFont="1">
      <alignment horizontal="center" readingOrder="0" vertical="center"/>
    </xf>
    <xf borderId="0" fillId="2" fontId="20" numFmtId="0" xfId="0" applyAlignment="1" applyFont="1">
      <alignment horizontal="center" readingOrder="0" vertical="center"/>
    </xf>
    <xf borderId="0" fillId="5" fontId="21" numFmtId="0" xfId="0" applyAlignment="1" applyFont="1">
      <alignment horizontal="center" readingOrder="0" vertical="center"/>
    </xf>
    <xf borderId="0" fillId="7" fontId="22" numFmtId="0" xfId="0" applyAlignment="1" applyFont="1">
      <alignment horizontal="center" readingOrder="0" vertical="center"/>
    </xf>
    <xf borderId="0" fillId="7" fontId="23" numFmtId="0" xfId="0" applyAlignment="1" applyFont="1">
      <alignment horizontal="center" readingOrder="0" vertical="center"/>
    </xf>
    <xf borderId="0" fillId="7" fontId="10" numFmtId="0" xfId="0" applyAlignment="1" applyFont="1">
      <alignment horizontal="center" readingOrder="0" vertical="center"/>
    </xf>
    <xf borderId="0" fillId="6" fontId="12" numFmtId="0" xfId="0" applyAlignment="1" applyFont="1">
      <alignment horizontal="left" vertical="center"/>
    </xf>
    <xf borderId="0" fillId="5" fontId="12" numFmtId="0" xfId="0" applyAlignment="1" applyFont="1">
      <alignment horizontal="left" vertical="center"/>
    </xf>
    <xf borderId="0" fillId="5" fontId="12" numFmtId="0" xfId="0" applyAlignment="1" applyFont="1">
      <alignment horizontal="center" vertical="center"/>
    </xf>
    <xf borderId="1" fillId="0" fontId="24" numFmtId="0" xfId="0" applyAlignment="1" applyBorder="1" applyFont="1">
      <alignment horizontal="left" readingOrder="0" shrinkToFit="0" vertical="center" wrapText="0"/>
    </xf>
    <xf borderId="1" fillId="0" fontId="24" numFmtId="0" xfId="0" applyAlignment="1" applyBorder="1" applyFont="1">
      <alignment horizontal="center" readingOrder="0" shrinkToFit="0" vertical="center" wrapText="0"/>
    </xf>
    <xf borderId="2" fillId="0" fontId="24" numFmtId="0" xfId="0" applyAlignment="1" applyBorder="1" applyFont="1">
      <alignment horizontal="center" readingOrder="0" shrinkToFit="0" vertical="center" wrapText="0"/>
    </xf>
    <xf borderId="1" fillId="0" fontId="24" numFmtId="49" xfId="0" applyAlignment="1" applyBorder="1" applyFont="1" applyNumberFormat="1">
      <alignment horizontal="center" readingOrder="0" shrinkToFit="0" vertical="center" wrapText="0"/>
    </xf>
    <xf borderId="1" fillId="0" fontId="25" numFmtId="0" xfId="0" applyAlignment="1" applyBorder="1" applyFont="1">
      <alignment horizontal="center" readingOrder="0" shrinkToFit="0" vertical="center" wrapText="0"/>
    </xf>
    <xf borderId="1" fillId="0" fontId="25" numFmtId="49" xfId="0" applyAlignment="1" applyBorder="1" applyFont="1" applyNumberFormat="1">
      <alignment horizontal="center" readingOrder="0" shrinkToFit="0" vertical="center" wrapText="0"/>
    </xf>
    <xf borderId="1" fillId="0" fontId="24" numFmtId="49" xfId="0" applyAlignment="1" applyBorder="1" applyFont="1" applyNumberFormat="1">
      <alignment horizontal="left" readingOrder="0" shrinkToFit="0" vertical="center" wrapText="0"/>
    </xf>
    <xf borderId="1" fillId="0" fontId="26" numFmtId="0" xfId="0" applyAlignment="1" applyBorder="1" applyFont="1">
      <alignment horizontal="center" readingOrder="0" shrinkToFit="0" vertical="center" wrapText="0"/>
    </xf>
    <xf borderId="1" fillId="0" fontId="24" numFmtId="0" xfId="0" applyAlignment="1" applyBorder="1" applyFont="1">
      <alignment horizontal="center" readingOrder="0" shrinkToFit="0" vertical="center" wrapText="0"/>
    </xf>
    <xf borderId="0" fillId="0" fontId="27" numFmtId="0" xfId="0" applyAlignment="1" applyFont="1">
      <alignment readingOrder="0" shrinkToFit="0" vertical="center" wrapText="0"/>
    </xf>
    <xf borderId="0" fillId="0" fontId="28" numFmtId="0" xfId="0" applyAlignment="1" applyFont="1">
      <alignment readingOrder="0" shrinkToFit="0" vertical="center" wrapText="0"/>
    </xf>
    <xf borderId="0" fillId="0" fontId="27" numFmtId="0" xfId="0" applyAlignment="1" applyFont="1">
      <alignment horizontal="left" readingOrder="0" shrinkToFit="0" vertical="center" wrapText="0"/>
    </xf>
    <xf borderId="3" fillId="0" fontId="27" numFmtId="0" xfId="0" applyAlignment="1" applyBorder="1" applyFont="1">
      <alignment readingOrder="0" shrinkToFit="0" vertical="center" wrapText="0"/>
    </xf>
    <xf borderId="0" fillId="0" fontId="27" numFmtId="0" xfId="0" applyAlignment="1" applyFont="1">
      <alignment horizontal="right" readingOrder="0" shrinkToFit="0" vertical="center" wrapText="0"/>
    </xf>
    <xf borderId="0" fillId="0" fontId="27" numFmtId="0" xfId="0" applyAlignment="1" applyFont="1">
      <alignment horizontal="center" readingOrder="0" shrinkToFit="0" vertical="center" wrapText="0"/>
    </xf>
    <xf borderId="4" fillId="0" fontId="27" numFmtId="0" xfId="0" applyAlignment="1" applyBorder="1" applyFont="1">
      <alignment horizontal="center" readingOrder="0" shrinkToFit="0" vertical="center" wrapText="0"/>
    </xf>
    <xf borderId="0" fillId="0" fontId="29" numFmtId="0" xfId="0" applyAlignment="1" applyFont="1">
      <alignment horizontal="right" readingOrder="0" shrinkToFit="0" vertical="center" wrapText="0"/>
    </xf>
    <xf borderId="5" fillId="0" fontId="27" numFmtId="0" xfId="0" applyAlignment="1" applyBorder="1" applyFont="1">
      <alignment horizontal="center" readingOrder="0" shrinkToFit="0" vertical="center" wrapText="0"/>
    </xf>
    <xf borderId="0" fillId="0" fontId="30" numFmtId="0" xfId="0" applyAlignment="1" applyFont="1">
      <alignment horizontal="right" readingOrder="0" shrinkToFit="0" vertical="center" wrapText="0"/>
    </xf>
    <xf borderId="6" fillId="0" fontId="27" numFmtId="0" xfId="0" applyAlignment="1" applyBorder="1" applyFont="1">
      <alignment horizontal="center" readingOrder="0" shrinkToFit="0" vertical="center" wrapText="0"/>
    </xf>
    <xf borderId="0" fillId="0" fontId="27" numFmtId="0" xfId="0" applyAlignment="1" applyFont="1">
      <alignment horizontal="center" readingOrder="0" shrinkToFit="0" vertical="center" wrapText="0"/>
    </xf>
    <xf borderId="7" fillId="0" fontId="27" numFmtId="0" xfId="0" applyAlignment="1" applyBorder="1" applyFont="1">
      <alignment horizontal="center" readingOrder="0" shrinkToFit="0" vertical="center" wrapText="0"/>
    </xf>
    <xf borderId="0" fillId="0" fontId="31" numFmtId="0" xfId="0" applyAlignment="1" applyFont="1">
      <alignment horizontal="center" readingOrder="0" shrinkToFit="0" vertical="center" wrapText="0"/>
    </xf>
    <xf borderId="0" fillId="0" fontId="32" numFmtId="0" xfId="0" applyAlignment="1" applyFont="1">
      <alignment horizontal="right" readingOrder="0" shrinkToFit="0" vertical="center" wrapText="0"/>
    </xf>
    <xf borderId="0" fillId="0" fontId="27" numFmtId="0" xfId="0" applyAlignment="1" applyFont="1">
      <alignment horizontal="right" readingOrder="0" shrinkToFit="0" vertical="center" wrapText="0"/>
    </xf>
    <xf borderId="0" fillId="0" fontId="33" numFmtId="0" xfId="0" applyAlignment="1" applyFont="1">
      <alignment horizontal="right" readingOrder="0" shrinkToFit="0" vertical="center" wrapText="0"/>
    </xf>
    <xf borderId="0" fillId="0" fontId="27" numFmtId="0" xfId="0" applyAlignment="1" applyFont="1">
      <alignment horizontal="center" readingOrder="0" shrinkToFit="0" vertical="center" wrapText="0"/>
    </xf>
    <xf borderId="0" fillId="0" fontId="34" numFmtId="0" xfId="0" applyAlignment="1" applyFont="1">
      <alignment readingOrder="0" shrinkToFit="0" vertical="center" wrapText="0"/>
    </xf>
    <xf borderId="0" fillId="0" fontId="27" numFmtId="0" xfId="0" applyAlignment="1" applyFont="1">
      <alignment horizontal="right" readingOrder="0" shrinkToFit="0" vertical="center" wrapText="0"/>
    </xf>
    <xf borderId="0" fillId="0" fontId="35" numFmtId="0" xfId="0" applyAlignment="1" applyFont="1">
      <alignment horizontal="right" readingOrder="0" shrinkToFit="0" vertical="center" wrapText="0"/>
    </xf>
    <xf borderId="0" fillId="8" fontId="27" numFmtId="0" xfId="0" applyAlignment="1" applyFill="1" applyFont="1">
      <alignment horizontal="right" readingOrder="0" shrinkToFit="0" vertical="center" wrapText="0"/>
    </xf>
    <xf borderId="0" fillId="0" fontId="24" numFmtId="0" xfId="0" applyAlignment="1" applyFont="1">
      <alignment horizontal="center" readingOrder="0" shrinkToFit="0" vertical="center" wrapText="0"/>
    </xf>
    <xf borderId="0" fillId="0" fontId="36" numFmtId="0" xfId="0" applyAlignment="1" applyFont="1">
      <alignment horizontal="right" readingOrder="0" shrinkToFit="0" vertical="center" wrapText="0"/>
    </xf>
    <xf borderId="7" fillId="0" fontId="27" numFmtId="9" xfId="0" applyAlignment="1" applyBorder="1" applyFont="1" applyNumberFormat="1">
      <alignment horizontal="center" readingOrder="0" shrinkToFit="0" vertical="center" wrapText="0"/>
    </xf>
    <xf borderId="0" fillId="0" fontId="37" numFmtId="0" xfId="0" applyAlignment="1" applyFont="1">
      <alignment horizontal="right" readingOrder="0" shrinkToFit="0" vertical="center" wrapText="0"/>
    </xf>
    <xf borderId="0" fillId="0" fontId="2" numFmtId="0" xfId="0" applyAlignment="1" applyFont="1">
      <alignment horizontal="right" readingOrder="0" shrinkToFit="0" vertical="center" wrapText="0"/>
    </xf>
    <xf borderId="0" fillId="0" fontId="38" numFmtId="0" xfId="0" applyAlignment="1" applyFont="1">
      <alignment horizontal="right" readingOrder="0" shrinkToFit="0" vertical="center" wrapText="0"/>
    </xf>
    <xf borderId="0" fillId="0" fontId="39" numFmtId="0" xfId="0" applyAlignment="1" applyFont="1">
      <alignment horizontal="right" readingOrder="0" shrinkToFit="0" vertical="center" wrapText="0"/>
    </xf>
    <xf borderId="0" fillId="8" fontId="40" numFmtId="0" xfId="0" applyAlignment="1" applyFont="1">
      <alignment horizontal="right" readingOrder="0" shrinkToFit="0" vertical="center" wrapText="0"/>
    </xf>
    <xf borderId="0" fillId="9" fontId="41" numFmtId="0" xfId="0" applyAlignment="1" applyFill="1" applyFont="1">
      <alignment horizontal="center" readingOrder="0" shrinkToFit="0" vertical="center" wrapText="0"/>
    </xf>
    <xf borderId="0" fillId="0" fontId="42" numFmtId="0" xfId="0" applyAlignment="1" applyFont="1">
      <alignment horizontal="center" readingOrder="0" shrinkToFit="0" vertical="center" wrapText="0"/>
    </xf>
    <xf borderId="8" fillId="10" fontId="43" numFmtId="0" xfId="0" applyAlignment="1" applyBorder="1" applyFill="1" applyFont="1">
      <alignment horizontal="center" readingOrder="0" shrinkToFit="0" vertical="center" wrapText="0"/>
    </xf>
    <xf borderId="9" fillId="0" fontId="43" numFmtId="0" xfId="0" applyAlignment="1" applyBorder="1" applyFont="1">
      <alignment horizontal="center" readingOrder="0" shrinkToFit="0" vertical="center" wrapText="0"/>
    </xf>
    <xf borderId="10" fillId="0" fontId="43" numFmtId="0" xfId="0" applyAlignment="1" applyBorder="1" applyFont="1">
      <alignment horizontal="center" readingOrder="0" shrinkToFit="0" vertical="center" wrapText="0"/>
    </xf>
    <xf borderId="0" fillId="0" fontId="43" numFmtId="0" xfId="0" applyAlignment="1" applyFont="1">
      <alignment horizontal="center" readingOrder="0" shrinkToFit="0" vertical="center" wrapText="0"/>
    </xf>
    <xf borderId="0" fillId="0" fontId="15" numFmtId="0" xfId="0" applyAlignment="1" applyFont="1">
      <alignment horizontal="center" shrinkToFit="0" vertical="center" wrapText="0"/>
    </xf>
    <xf borderId="0" fillId="0" fontId="44" numFmtId="0" xfId="0" applyAlignment="1" applyFont="1">
      <alignment horizontal="center" readingOrder="0" shrinkToFit="0" vertical="center" wrapText="0"/>
    </xf>
    <xf borderId="0" fillId="0" fontId="45" numFmtId="0" xfId="0" applyAlignment="1" applyFont="1">
      <alignment horizontal="center" readingOrder="0" shrinkToFit="0" vertical="center" wrapText="0"/>
    </xf>
    <xf borderId="8" fillId="0" fontId="46" numFmtId="0" xfId="0" applyAlignment="1" applyBorder="1" applyFont="1">
      <alignment horizontal="center" readingOrder="0" shrinkToFit="0" vertical="center" wrapText="0"/>
    </xf>
    <xf borderId="9" fillId="0" fontId="46" numFmtId="0" xfId="0" applyAlignment="1" applyBorder="1" applyFont="1">
      <alignment horizontal="center" readingOrder="0" shrinkToFit="0" vertical="center" wrapText="0"/>
    </xf>
    <xf borderId="10" fillId="0" fontId="46" numFmtId="0" xfId="0" applyAlignment="1" applyBorder="1" applyFont="1">
      <alignment horizontal="center" readingOrder="0" shrinkToFit="0" vertical="center" wrapText="0"/>
    </xf>
    <xf borderId="0" fillId="0" fontId="46" numFmtId="0" xfId="0" applyAlignment="1" applyFont="1">
      <alignment horizontal="center" readingOrder="0" shrinkToFit="0" vertical="center" wrapText="0"/>
    </xf>
    <xf borderId="0" fillId="0" fontId="15" numFmtId="0" xfId="0" applyAlignment="1" applyFont="1">
      <alignment horizontal="center" readingOrder="0" shrinkToFit="0" vertical="center" wrapText="0"/>
    </xf>
    <xf borderId="0" fillId="0" fontId="47" numFmtId="0" xfId="0" applyAlignment="1" applyFont="1">
      <alignment horizontal="center" readingOrder="0" shrinkToFit="0" vertical="center" wrapText="0"/>
    </xf>
    <xf borderId="0" fillId="11" fontId="15" numFmtId="0" xfId="0" applyAlignment="1" applyFill="1" applyFont="1">
      <alignment horizontal="center" shrinkToFit="0" vertical="center" wrapText="0"/>
    </xf>
    <xf borderId="0" fillId="0" fontId="6" numFmtId="0" xfId="0" applyAlignment="1" applyFont="1">
      <alignment horizontal="center" shrinkToFit="0" vertical="center" wrapText="0"/>
    </xf>
    <xf borderId="0" fillId="0" fontId="6" numFmtId="0" xfId="0" applyAlignment="1" applyFont="1">
      <alignment shrinkToFit="0" vertical="center" wrapText="0"/>
    </xf>
    <xf borderId="0" fillId="0" fontId="48" numFmtId="0" xfId="0" applyAlignment="1" applyFont="1">
      <alignment horizontal="center" readingOrder="0" shrinkToFit="0" vertical="center" wrapText="0"/>
    </xf>
    <xf borderId="11" fillId="0" fontId="46" numFmtId="0" xfId="0" applyAlignment="1" applyBorder="1" applyFont="1">
      <alignment horizontal="center" readingOrder="0" shrinkToFit="0" vertical="center" wrapText="0"/>
    </xf>
    <xf borderId="10" fillId="0" fontId="49" numFmtId="0" xfId="0" applyAlignment="1" applyBorder="1" applyFont="1">
      <alignment horizontal="center" readingOrder="0" shrinkToFit="0" vertical="center" wrapText="0"/>
    </xf>
    <xf borderId="0" fillId="0" fontId="50" numFmtId="0" xfId="0" applyAlignment="1" applyFont="1">
      <alignment shrinkToFit="0" vertical="center" wrapText="0"/>
    </xf>
    <xf borderId="0" fillId="0" fontId="51" numFmtId="0" xfId="0" applyAlignment="1" applyFont="1">
      <alignment horizontal="center" readingOrder="0" shrinkToFit="0" vertical="center" wrapText="0"/>
    </xf>
    <xf borderId="0" fillId="0" fontId="46" numFmtId="0" xfId="0" applyAlignment="1" applyFont="1">
      <alignment horizontal="center" shrinkToFit="0" vertical="center" wrapText="0"/>
    </xf>
    <xf borderId="0" fillId="0" fontId="52" numFmtId="0" xfId="0" applyAlignment="1" applyFont="1">
      <alignment horizontal="center" readingOrder="0" shrinkToFit="0" vertical="center" wrapText="0"/>
    </xf>
    <xf borderId="0" fillId="8" fontId="15" numFmtId="0" xfId="0" applyAlignment="1" applyFont="1">
      <alignment horizontal="center" shrinkToFit="0" vertical="center" wrapText="0"/>
    </xf>
    <xf borderId="8" fillId="0" fontId="46" numFmtId="0" xfId="0" applyAlignment="1" applyBorder="1" applyFont="1">
      <alignment horizontal="center" shrinkToFit="0" vertical="center" wrapText="0"/>
    </xf>
    <xf borderId="9" fillId="0" fontId="46" numFmtId="0" xfId="0" applyAlignment="1" applyBorder="1" applyFont="1">
      <alignment horizontal="center" shrinkToFit="0" vertical="center" wrapText="0"/>
    </xf>
    <xf borderId="10" fillId="0" fontId="46" numFmtId="0" xfId="0" applyAlignment="1" applyBorder="1" applyFont="1">
      <alignment horizontal="center" shrinkToFit="0" vertical="center" wrapText="0"/>
    </xf>
    <xf borderId="0" fillId="0" fontId="50" numFmtId="0" xfId="0" applyAlignment="1" applyFont="1">
      <alignment horizontal="center" shrinkToFit="0" vertical="center" wrapText="0"/>
    </xf>
    <xf borderId="0" fillId="0" fontId="53" numFmtId="0" xfId="0" applyAlignment="1" applyFont="1">
      <alignment horizontal="center" shrinkToFit="0" vertical="center" wrapText="0"/>
    </xf>
    <xf borderId="0" fillId="0" fontId="9" numFmtId="0" xfId="0" applyAlignment="1" applyFont="1">
      <alignment horizontal="center" shrinkToFit="0" vertical="center" wrapText="0"/>
    </xf>
    <xf borderId="12" fillId="0" fontId="46" numFmtId="0" xfId="0" applyAlignment="1" applyBorder="1" applyFont="1">
      <alignment horizontal="center" shrinkToFit="0" vertical="center" wrapText="0"/>
    </xf>
    <xf borderId="13" fillId="0" fontId="2" numFmtId="0" xfId="0" applyAlignment="1" applyBorder="1" applyFont="1">
      <alignment horizontal="center" readingOrder="0" shrinkToFit="0" vertical="center" wrapText="0"/>
    </xf>
    <xf borderId="0" fillId="0" fontId="2" numFmtId="0" xfId="0" applyAlignment="1" applyFont="1">
      <alignment horizontal="center" readingOrder="0" shrinkToFit="0" vertical="center" wrapText="0"/>
    </xf>
    <xf borderId="14" fillId="0" fontId="54" numFmtId="0" xfId="0" applyAlignment="1" applyBorder="1" applyFont="1">
      <alignment horizontal="center" readingOrder="0" shrinkToFit="0" vertical="center" wrapText="0"/>
    </xf>
    <xf borderId="0" fillId="0" fontId="54" numFmtId="0" xfId="0" applyAlignment="1" applyFont="1">
      <alignment horizontal="center" readingOrder="0" shrinkToFit="0" vertical="center" wrapText="0"/>
    </xf>
    <xf borderId="0" fillId="12" fontId="2" numFmtId="0" xfId="0" applyAlignment="1" applyFill="1" applyFont="1">
      <alignment horizontal="center" vertical="center"/>
    </xf>
    <xf borderId="13" fillId="0" fontId="55" numFmtId="0" xfId="0" applyAlignment="1" applyBorder="1" applyFont="1">
      <alignment horizontal="center" shrinkToFit="0" vertical="center" wrapText="0"/>
    </xf>
    <xf borderId="0" fillId="0" fontId="56" numFmtId="0" xfId="0" applyAlignment="1" applyFont="1">
      <alignment horizontal="center" readingOrder="0" shrinkToFit="0" vertical="center" wrapText="0"/>
    </xf>
    <xf borderId="14" fillId="0" fontId="56" numFmtId="0" xfId="0" applyAlignment="1" applyBorder="1" applyFont="1">
      <alignment horizontal="center" readingOrder="0" shrinkToFit="0" vertical="center" wrapText="0"/>
    </xf>
    <xf borderId="0" fillId="0" fontId="56" numFmtId="0" xfId="0" applyAlignment="1" applyFont="1">
      <alignment horizontal="center" readingOrder="0" shrinkToFit="0" vertical="center" wrapText="0"/>
    </xf>
    <xf borderId="0" fillId="12" fontId="2" numFmtId="0" xfId="0" applyFont="1"/>
    <xf borderId="13" fillId="0" fontId="2" numFmtId="0" xfId="0" applyAlignment="1" applyBorder="1" applyFont="1">
      <alignment horizontal="center" shrinkToFit="0" vertical="center" wrapText="0"/>
    </xf>
    <xf borderId="15" fillId="13" fontId="57" numFmtId="0" xfId="0" applyAlignment="1" applyBorder="1" applyFill="1" applyFont="1">
      <alignment horizontal="center" readingOrder="0" vertical="center"/>
    </xf>
    <xf borderId="16" fillId="0" fontId="58" numFmtId="0" xfId="0" applyBorder="1" applyFont="1"/>
    <xf borderId="17" fillId="0" fontId="58" numFmtId="0" xfId="0" applyBorder="1" applyFont="1"/>
    <xf borderId="18" fillId="11" fontId="59" numFmtId="0" xfId="0" applyBorder="1" applyFont="1"/>
    <xf borderId="19" fillId="4" fontId="59" numFmtId="0" xfId="0" applyAlignment="1" applyBorder="1" applyFont="1">
      <alignment horizontal="center" readingOrder="0" vertical="center"/>
    </xf>
    <xf borderId="20" fillId="4" fontId="59" numFmtId="0" xfId="0" applyAlignment="1" applyBorder="1" applyFont="1">
      <alignment horizontal="center" readingOrder="0" vertical="center"/>
    </xf>
    <xf borderId="21" fillId="4" fontId="59" numFmtId="0" xfId="0" applyAlignment="1" applyBorder="1" applyFont="1">
      <alignment horizontal="center" readingOrder="0" vertical="center"/>
    </xf>
    <xf borderId="22" fillId="4" fontId="59" numFmtId="0" xfId="0" applyAlignment="1" applyBorder="1" applyFont="1">
      <alignment horizontal="center" readingOrder="0" vertical="center"/>
    </xf>
    <xf borderId="23" fillId="8" fontId="59" numFmtId="4" xfId="0" applyAlignment="1" applyBorder="1" applyFont="1" applyNumberFormat="1">
      <alignment horizontal="center" readingOrder="0" vertical="center"/>
    </xf>
    <xf borderId="24" fillId="8" fontId="59" numFmtId="4" xfId="0" applyAlignment="1" applyBorder="1" applyFont="1" applyNumberFormat="1">
      <alignment horizontal="center" readingOrder="0" vertical="center"/>
    </xf>
    <xf borderId="25" fillId="8" fontId="59" numFmtId="4" xfId="0" applyAlignment="1" applyBorder="1" applyFont="1" applyNumberFormat="1">
      <alignment horizontal="center" vertical="center"/>
    </xf>
    <xf borderId="18" fillId="4" fontId="59" numFmtId="0" xfId="0" applyAlignment="1" applyBorder="1" applyFont="1">
      <alignment horizontal="center" readingOrder="0" vertical="center"/>
    </xf>
    <xf borderId="19" fillId="8" fontId="59" numFmtId="10" xfId="0" applyAlignment="1" applyBorder="1" applyFont="1" applyNumberFormat="1">
      <alignment horizontal="center" readingOrder="0" vertical="center"/>
    </xf>
    <xf borderId="20" fillId="8" fontId="59" numFmtId="4" xfId="0" applyAlignment="1" applyBorder="1" applyFont="1" applyNumberFormat="1">
      <alignment horizontal="center" readingOrder="0" vertical="center"/>
    </xf>
    <xf borderId="20" fillId="8" fontId="59" numFmtId="10" xfId="0" applyAlignment="1" applyBorder="1" applyFont="1" applyNumberFormat="1">
      <alignment horizontal="center" readingOrder="0" vertical="center"/>
    </xf>
    <xf borderId="20" fillId="8" fontId="59" numFmtId="49" xfId="0" applyAlignment="1" applyBorder="1" applyFont="1" applyNumberFormat="1">
      <alignment horizontal="center" readingOrder="0" vertical="center"/>
    </xf>
    <xf borderId="20" fillId="8" fontId="59" numFmtId="0" xfId="0" applyAlignment="1" applyBorder="1" applyFont="1">
      <alignment horizontal="center" readingOrder="0" vertical="center"/>
    </xf>
    <xf borderId="21" fillId="8" fontId="59" numFmtId="4" xfId="0" applyAlignment="1" applyBorder="1" applyFont="1" applyNumberFormat="1">
      <alignment horizontal="center" vertical="center"/>
    </xf>
    <xf borderId="13" fillId="8" fontId="2" numFmtId="0" xfId="0" applyAlignment="1" applyBorder="1" applyFont="1">
      <alignment horizontal="center" shrinkToFit="0" vertical="center" wrapText="0"/>
    </xf>
    <xf borderId="13" fillId="14" fontId="2" numFmtId="0" xfId="0" applyAlignment="1" applyBorder="1" applyFill="1" applyFont="1">
      <alignment horizontal="center" shrinkToFit="0" vertical="center" wrapText="0"/>
    </xf>
    <xf borderId="13" fillId="15" fontId="60" numFmtId="0" xfId="0" applyAlignment="1" applyBorder="1" applyFill="1" applyFont="1">
      <alignment horizontal="center" shrinkToFit="0" vertical="center" wrapText="0"/>
    </xf>
    <xf borderId="13" fillId="16" fontId="2" numFmtId="0" xfId="0" applyAlignment="1" applyBorder="1" applyFill="1" applyFont="1">
      <alignment horizontal="center" shrinkToFit="0" vertical="center" wrapText="0"/>
    </xf>
    <xf borderId="13" fillId="17" fontId="2" numFmtId="0" xfId="0" applyAlignment="1" applyBorder="1" applyFill="1" applyFont="1">
      <alignment horizontal="center" shrinkToFit="0" vertical="center" wrapText="0"/>
    </xf>
    <xf borderId="13" fillId="18" fontId="2" numFmtId="0" xfId="0" applyAlignment="1" applyBorder="1" applyFill="1" applyFont="1">
      <alignment horizontal="center" shrinkToFit="0" vertical="center" wrapText="0"/>
    </xf>
    <xf borderId="13" fillId="19" fontId="2" numFmtId="0" xfId="0" applyAlignment="1" applyBorder="1" applyFill="1" applyFont="1">
      <alignment horizontal="center" shrinkToFit="0" vertical="center" wrapText="0"/>
    </xf>
    <xf borderId="0" fillId="0" fontId="56" numFmtId="0" xfId="0" applyAlignment="1" applyFont="1">
      <alignment horizontal="center" shrinkToFit="0" vertical="center" wrapText="0"/>
    </xf>
    <xf borderId="26" fillId="20" fontId="61" numFmtId="0" xfId="0" applyAlignment="1" applyBorder="1" applyFill="1" applyFont="1">
      <alignment horizontal="center" readingOrder="0" vertical="center"/>
    </xf>
    <xf borderId="27" fillId="20" fontId="61" numFmtId="49" xfId="0" applyAlignment="1" applyBorder="1" applyFont="1" applyNumberFormat="1">
      <alignment horizontal="center" readingOrder="0" vertical="center"/>
    </xf>
    <xf borderId="28" fillId="20" fontId="61" numFmtId="10" xfId="0" applyAlignment="1" applyBorder="1" applyFont="1" applyNumberFormat="1">
      <alignment horizontal="center" readingOrder="0" vertical="center"/>
    </xf>
    <xf borderId="26" fillId="20" fontId="61" numFmtId="10" xfId="0" applyAlignment="1" applyBorder="1" applyFont="1" applyNumberFormat="1">
      <alignment horizontal="center" readingOrder="0" vertical="center"/>
    </xf>
    <xf borderId="1" fillId="20" fontId="61" numFmtId="0" xfId="0" applyAlignment="1" applyBorder="1" applyFont="1">
      <alignment horizontal="center" readingOrder="0" vertical="center"/>
    </xf>
    <xf borderId="29" fillId="8" fontId="62" numFmtId="0" xfId="0" applyAlignment="1" applyBorder="1" applyFont="1">
      <alignment horizontal="center" readingOrder="0" vertical="center"/>
    </xf>
    <xf borderId="30" fillId="8" fontId="63" numFmtId="0" xfId="0" applyAlignment="1" applyBorder="1" applyFont="1">
      <alignment horizontal="center" readingOrder="0" vertical="center"/>
    </xf>
    <xf borderId="31" fillId="8" fontId="63" numFmtId="10" xfId="0" applyAlignment="1" applyBorder="1" applyFont="1" applyNumberFormat="1">
      <alignment horizontal="center" readingOrder="0" vertical="center"/>
    </xf>
    <xf borderId="29" fillId="8" fontId="63" numFmtId="10" xfId="0" applyAlignment="1" applyBorder="1" applyFont="1" applyNumberFormat="1">
      <alignment horizontal="center" readingOrder="0" vertical="center"/>
    </xf>
    <xf borderId="0" fillId="8" fontId="64" numFmtId="0" xfId="0" applyAlignment="1" applyFont="1">
      <alignment horizontal="center" readingOrder="0" vertical="center"/>
    </xf>
    <xf borderId="29" fillId="21" fontId="46" numFmtId="0" xfId="0" applyAlignment="1" applyBorder="1" applyFill="1" applyFont="1">
      <alignment horizontal="center" readingOrder="0" vertical="center"/>
    </xf>
    <xf borderId="30" fillId="21" fontId="63" numFmtId="0" xfId="0" applyAlignment="1" applyBorder="1" applyFont="1">
      <alignment horizontal="center" readingOrder="0" vertical="center"/>
    </xf>
    <xf borderId="31" fillId="21" fontId="63" numFmtId="10" xfId="0" applyAlignment="1" applyBorder="1" applyFont="1" applyNumberFormat="1">
      <alignment horizontal="center" readingOrder="0" vertical="center"/>
    </xf>
    <xf borderId="29" fillId="21" fontId="63" numFmtId="10" xfId="0" applyAlignment="1" applyBorder="1" applyFont="1" applyNumberFormat="1">
      <alignment horizontal="center" readingOrder="0" vertical="center"/>
    </xf>
    <xf borderId="0" fillId="21" fontId="64" numFmtId="0" xfId="0" applyAlignment="1" applyFont="1">
      <alignment horizontal="center" readingOrder="0" vertical="center"/>
    </xf>
    <xf borderId="29" fillId="22" fontId="46" numFmtId="0" xfId="0" applyAlignment="1" applyBorder="1" applyFill="1" applyFont="1">
      <alignment horizontal="center" vertical="center"/>
    </xf>
    <xf borderId="30" fillId="0" fontId="63" numFmtId="0" xfId="0" applyAlignment="1" applyBorder="1" applyFont="1">
      <alignment horizontal="center" readingOrder="0" vertical="center"/>
    </xf>
    <xf borderId="31" fillId="0" fontId="63" numFmtId="10" xfId="0" applyAlignment="1" applyBorder="1" applyFont="1" applyNumberFormat="1">
      <alignment horizontal="center" readingOrder="0" vertical="center"/>
    </xf>
    <xf borderId="29" fillId="0" fontId="63" numFmtId="10" xfId="0" applyAlignment="1" applyBorder="1" applyFont="1" applyNumberFormat="1">
      <alignment horizontal="center" readingOrder="0" vertical="center"/>
    </xf>
    <xf borderId="0" fillId="0" fontId="64" numFmtId="0" xfId="0" applyAlignment="1" applyFont="1">
      <alignment horizontal="center" readingOrder="0" vertical="center"/>
    </xf>
    <xf borderId="29" fillId="0" fontId="58" numFmtId="0" xfId="0" applyBorder="1" applyFont="1"/>
    <xf borderId="32" fillId="0" fontId="58" numFmtId="0" xfId="0" applyBorder="1" applyFont="1"/>
    <xf borderId="33" fillId="21" fontId="63" numFmtId="0" xfId="0" applyAlignment="1" applyBorder="1" applyFont="1">
      <alignment horizontal="center" readingOrder="0" vertical="center"/>
    </xf>
    <xf borderId="34" fillId="21" fontId="63" numFmtId="10" xfId="0" applyAlignment="1" applyBorder="1" applyFont="1" applyNumberFormat="1">
      <alignment horizontal="center" readingOrder="0" vertical="center"/>
    </xf>
    <xf borderId="35" fillId="21" fontId="63" numFmtId="10" xfId="0" applyAlignment="1" applyBorder="1" applyFont="1" applyNumberFormat="1">
      <alignment horizontal="center" readingOrder="0" vertical="center"/>
    </xf>
    <xf borderId="36" fillId="21" fontId="64" numFmtId="0" xfId="0" applyAlignment="1" applyBorder="1" applyFont="1">
      <alignment horizontal="center" readingOrder="0" vertical="center"/>
    </xf>
    <xf borderId="29" fillId="8" fontId="65" numFmtId="0" xfId="0" applyAlignment="1" applyBorder="1" applyFont="1">
      <alignment horizontal="center" readingOrder="0" vertical="center"/>
    </xf>
    <xf borderId="29" fillId="8" fontId="46" numFmtId="0" xfId="0" applyAlignment="1" applyBorder="1" applyFont="1">
      <alignment horizontal="center" readingOrder="0" vertical="center"/>
    </xf>
    <xf borderId="29" fillId="0" fontId="66" numFmtId="0" xfId="0" applyAlignment="1" applyBorder="1" applyFont="1">
      <alignment horizontal="center" readingOrder="0" vertical="center"/>
    </xf>
    <xf borderId="29" fillId="23" fontId="46" numFmtId="0" xfId="0" applyAlignment="1" applyBorder="1" applyFill="1" applyFont="1">
      <alignment horizontal="center" readingOrder="0" vertical="center"/>
    </xf>
    <xf borderId="30" fillId="23" fontId="63" numFmtId="0" xfId="0" applyAlignment="1" applyBorder="1" applyFont="1">
      <alignment horizontal="center" readingOrder="0" vertical="center"/>
    </xf>
    <xf borderId="31" fillId="23" fontId="63" numFmtId="10" xfId="0" applyAlignment="1" applyBorder="1" applyFont="1" applyNumberFormat="1">
      <alignment horizontal="center" readingOrder="0" vertical="center"/>
    </xf>
    <xf borderId="29" fillId="23" fontId="63" numFmtId="10" xfId="0" applyAlignment="1" applyBorder="1" applyFont="1" applyNumberFormat="1">
      <alignment horizontal="center" readingOrder="0" vertical="center"/>
    </xf>
    <xf borderId="0" fillId="23" fontId="64" numFmtId="0" xfId="0" applyAlignment="1" applyFont="1">
      <alignment horizontal="center" readingOrder="0" vertical="center"/>
    </xf>
    <xf borderId="29" fillId="14" fontId="46" numFmtId="0" xfId="0" applyAlignment="1" applyBorder="1" applyFont="1">
      <alignment horizontal="center" vertical="center"/>
    </xf>
    <xf borderId="37" fillId="0" fontId="58" numFmtId="0" xfId="0" applyBorder="1" applyFont="1"/>
    <xf borderId="38" fillId="23" fontId="63" numFmtId="0" xfId="0" applyAlignment="1" applyBorder="1" applyFont="1">
      <alignment horizontal="center" readingOrder="0" vertical="center"/>
    </xf>
    <xf borderId="39" fillId="23" fontId="63" numFmtId="10" xfId="0" applyAlignment="1" applyBorder="1" applyFont="1" applyNumberFormat="1">
      <alignment horizontal="center" readingOrder="0" vertical="center"/>
    </xf>
    <xf borderId="40" fillId="23" fontId="63" numFmtId="10" xfId="0" applyAlignment="1" applyBorder="1" applyFont="1" applyNumberFormat="1">
      <alignment horizontal="center" readingOrder="0" vertical="center"/>
    </xf>
    <xf borderId="41" fillId="23" fontId="64" numFmtId="0" xfId="0" applyAlignment="1" applyBorder="1" applyFont="1">
      <alignment horizontal="center" readingOrder="0" vertical="center"/>
    </xf>
    <xf borderId="29" fillId="0" fontId="46" numFmtId="0" xfId="0" applyAlignment="1" applyBorder="1" applyFont="1">
      <alignment horizontal="center" readingOrder="0" vertical="center"/>
    </xf>
    <xf borderId="40" fillId="0" fontId="58" numFmtId="0" xfId="0" applyBorder="1" applyFont="1"/>
    <xf borderId="29" fillId="0" fontId="63" numFmtId="0" xfId="0" applyAlignment="1" applyBorder="1" applyFont="1">
      <alignment horizontal="center" readingOrder="0" vertical="center"/>
    </xf>
    <xf borderId="29" fillId="23" fontId="63" numFmtId="9" xfId="0" applyAlignment="1" applyBorder="1" applyFont="1" applyNumberFormat="1">
      <alignment horizontal="center" readingOrder="0" vertical="center"/>
    </xf>
    <xf borderId="39" fillId="23" fontId="63" numFmtId="0" xfId="0" applyAlignment="1" applyBorder="1" applyFont="1">
      <alignment horizontal="center" readingOrder="0" vertical="center"/>
    </xf>
    <xf borderId="40" fillId="23" fontId="63" numFmtId="0" xfId="0" applyAlignment="1" applyBorder="1" applyFont="1">
      <alignment horizontal="center" readingOrder="0" vertical="center"/>
    </xf>
    <xf borderId="29" fillId="24" fontId="46" numFmtId="0" xfId="0" applyAlignment="1" applyBorder="1" applyFill="1" applyFont="1">
      <alignment horizontal="center" readingOrder="0" vertical="center"/>
    </xf>
    <xf borderId="30" fillId="24" fontId="63" numFmtId="0" xfId="0" applyAlignment="1" applyBorder="1" applyFont="1">
      <alignment horizontal="center" readingOrder="0" vertical="center"/>
    </xf>
    <xf borderId="31" fillId="24" fontId="63" numFmtId="10" xfId="0" applyAlignment="1" applyBorder="1" applyFont="1" applyNumberFormat="1">
      <alignment horizontal="center" readingOrder="0" vertical="center"/>
    </xf>
    <xf borderId="29" fillId="24" fontId="63" numFmtId="10" xfId="0" applyAlignment="1" applyBorder="1" applyFont="1" applyNumberFormat="1">
      <alignment horizontal="center" readingOrder="0" vertical="center"/>
    </xf>
    <xf borderId="0" fillId="24" fontId="64" numFmtId="0" xfId="0" applyAlignment="1" applyFont="1">
      <alignment horizontal="center" readingOrder="0" vertical="center"/>
    </xf>
    <xf borderId="29" fillId="25" fontId="46" numFmtId="0" xfId="0" applyAlignment="1" applyBorder="1" applyFill="1" applyFont="1">
      <alignment horizontal="center" vertical="center"/>
    </xf>
    <xf borderId="35" fillId="0" fontId="58" numFmtId="0" xfId="0" applyBorder="1" applyFont="1"/>
    <xf borderId="33" fillId="24" fontId="63" numFmtId="0" xfId="0" applyAlignment="1" applyBorder="1" applyFont="1">
      <alignment horizontal="center" readingOrder="0" vertical="center"/>
    </xf>
    <xf borderId="34" fillId="24" fontId="63" numFmtId="10" xfId="0" applyAlignment="1" applyBorder="1" applyFont="1" applyNumberFormat="1">
      <alignment horizontal="center" readingOrder="0" vertical="center"/>
    </xf>
    <xf borderId="35" fillId="24" fontId="63" numFmtId="10" xfId="0" applyAlignment="1" applyBorder="1" applyFont="1" applyNumberFormat="1">
      <alignment horizontal="center" readingOrder="0" vertical="center"/>
    </xf>
    <xf borderId="36" fillId="24" fontId="64" numFmtId="0" xfId="0" applyAlignment="1" applyBorder="1" applyFont="1">
      <alignment horizontal="center" readingOrder="0" vertical="center"/>
    </xf>
    <xf borderId="35" fillId="24" fontId="67" numFmtId="10" xfId="0" applyAlignment="1" applyBorder="1" applyFont="1" applyNumberFormat="1">
      <alignment horizontal="center" readingOrder="0" vertical="center"/>
    </xf>
    <xf borderId="29" fillId="24" fontId="63" numFmtId="0" xfId="0" applyAlignment="1" applyBorder="1" applyFont="1">
      <alignment horizontal="center" readingOrder="0" vertical="center"/>
    </xf>
    <xf borderId="31" fillId="24" fontId="63" numFmtId="0" xfId="0" applyAlignment="1" applyBorder="1" applyFont="1">
      <alignment horizontal="center" readingOrder="0" vertical="center"/>
    </xf>
    <xf borderId="29" fillId="0" fontId="46" numFmtId="0" xfId="0" applyAlignment="1" applyBorder="1" applyFont="1">
      <alignment horizontal="center" readingOrder="0" vertical="center"/>
    </xf>
    <xf borderId="29" fillId="18" fontId="46" numFmtId="0" xfId="0" applyAlignment="1" applyBorder="1" applyFont="1">
      <alignment horizontal="center" readingOrder="0" vertical="center"/>
    </xf>
    <xf borderId="30" fillId="18" fontId="63" numFmtId="0" xfId="0" applyAlignment="1" applyBorder="1" applyFont="1">
      <alignment horizontal="center" readingOrder="0" vertical="center"/>
    </xf>
    <xf borderId="31" fillId="18" fontId="63" numFmtId="10" xfId="0" applyAlignment="1" applyBorder="1" applyFont="1" applyNumberFormat="1">
      <alignment horizontal="center" readingOrder="0" vertical="center"/>
    </xf>
    <xf borderId="29" fillId="18" fontId="63" numFmtId="10" xfId="0" applyAlignment="1" applyBorder="1" applyFont="1" applyNumberFormat="1">
      <alignment horizontal="center" readingOrder="0" vertical="center"/>
    </xf>
    <xf borderId="0" fillId="18" fontId="64" numFmtId="0" xfId="0" applyAlignment="1" applyFont="1">
      <alignment horizontal="center" readingOrder="0" vertical="center"/>
    </xf>
    <xf borderId="29" fillId="26" fontId="46" numFmtId="0" xfId="0" applyAlignment="1" applyBorder="1" applyFill="1" applyFont="1">
      <alignment horizontal="center" vertical="center"/>
    </xf>
    <xf borderId="42" fillId="0" fontId="58" numFmtId="0" xfId="0" applyBorder="1" applyFont="1"/>
    <xf borderId="43" fillId="18" fontId="63" numFmtId="0" xfId="0" applyAlignment="1" applyBorder="1" applyFont="1">
      <alignment horizontal="center" readingOrder="0" vertical="center"/>
    </xf>
    <xf borderId="44" fillId="18" fontId="63" numFmtId="10" xfId="0" applyAlignment="1" applyBorder="1" applyFont="1" applyNumberFormat="1">
      <alignment horizontal="center" readingOrder="0" vertical="center"/>
    </xf>
    <xf borderId="42" fillId="18" fontId="63" numFmtId="10" xfId="0" applyAlignment="1" applyBorder="1" applyFont="1" applyNumberFormat="1">
      <alignment horizontal="center" readingOrder="0" vertical="center"/>
    </xf>
    <xf borderId="45" fillId="18" fontId="64" numFmtId="0" xfId="0" applyAlignment="1" applyBorder="1" applyFont="1">
      <alignment horizontal="center" readingOrder="0" vertical="center"/>
    </xf>
    <xf borderId="30" fillId="0" fontId="63" numFmtId="0" xfId="0" applyAlignment="1" applyBorder="1" applyFont="1">
      <alignment horizontal="center" vertical="center"/>
    </xf>
    <xf borderId="30" fillId="18" fontId="63" numFmtId="0" xfId="0" applyAlignment="1" applyBorder="1" applyFont="1">
      <alignment horizontal="center" vertical="center"/>
    </xf>
    <xf borderId="29" fillId="0" fontId="46" numFmtId="0" xfId="0" applyAlignment="1" applyBorder="1" applyFont="1">
      <alignment horizontal="center" readingOrder="0" vertical="center"/>
    </xf>
    <xf borderId="43" fillId="18" fontId="63" numFmtId="0" xfId="0" applyAlignment="1" applyBorder="1" applyFont="1">
      <alignment horizontal="center" vertical="center"/>
    </xf>
    <xf borderId="29" fillId="18" fontId="63" numFmtId="0" xfId="0" applyAlignment="1" applyBorder="1" applyFont="1">
      <alignment horizontal="center" readingOrder="0" vertical="center"/>
    </xf>
    <xf borderId="29" fillId="0" fontId="68" numFmtId="10" xfId="0" applyAlignment="1" applyBorder="1" applyFont="1" applyNumberFormat="1">
      <alignment horizontal="center" readingOrder="0" vertical="center"/>
    </xf>
    <xf borderId="29" fillId="27" fontId="46" numFmtId="0" xfId="0" applyAlignment="1" applyBorder="1" applyFill="1" applyFont="1">
      <alignment horizontal="center" readingOrder="0" vertical="center"/>
    </xf>
    <xf borderId="30" fillId="27" fontId="63" numFmtId="0" xfId="0" applyAlignment="1" applyBorder="1" applyFont="1">
      <alignment horizontal="center" readingOrder="0" vertical="center"/>
    </xf>
    <xf borderId="31" fillId="27" fontId="63" numFmtId="10" xfId="0" applyAlignment="1" applyBorder="1" applyFont="1" applyNumberFormat="1">
      <alignment horizontal="center" readingOrder="0" vertical="center"/>
    </xf>
    <xf borderId="29" fillId="27" fontId="69" numFmtId="10" xfId="0" applyAlignment="1" applyBorder="1" applyFont="1" applyNumberFormat="1">
      <alignment horizontal="center" readingOrder="0" vertical="center"/>
    </xf>
    <xf borderId="0" fillId="27" fontId="64" numFmtId="0" xfId="0" applyAlignment="1" applyFont="1">
      <alignment horizontal="center" readingOrder="0" vertical="center"/>
    </xf>
    <xf borderId="29" fillId="15" fontId="46" numFmtId="0" xfId="0" applyAlignment="1" applyBorder="1" applyFont="1">
      <alignment horizontal="center" vertical="center"/>
    </xf>
    <xf borderId="46" fillId="0" fontId="58" numFmtId="0" xfId="0" applyBorder="1" applyFont="1"/>
    <xf borderId="47" fillId="27" fontId="63" numFmtId="0" xfId="0" applyAlignment="1" applyBorder="1" applyFont="1">
      <alignment horizontal="center" readingOrder="0" vertical="center"/>
    </xf>
    <xf borderId="48" fillId="27" fontId="63" numFmtId="10" xfId="0" applyAlignment="1" applyBorder="1" applyFont="1" applyNumberFormat="1">
      <alignment horizontal="center" readingOrder="0" vertical="center"/>
    </xf>
    <xf borderId="46" fillId="27" fontId="63" numFmtId="10" xfId="0" applyAlignment="1" applyBorder="1" applyFont="1" applyNumberFormat="1">
      <alignment horizontal="center" readingOrder="0" vertical="center"/>
    </xf>
    <xf borderId="49" fillId="27" fontId="64" numFmtId="0" xfId="0" applyAlignment="1" applyBorder="1" applyFont="1">
      <alignment horizontal="center" readingOrder="0" vertical="center"/>
    </xf>
    <xf borderId="29" fillId="0" fontId="46" numFmtId="0" xfId="0" applyAlignment="1" applyBorder="1" applyFont="1">
      <alignment horizontal="center" readingOrder="0" vertical="center"/>
    </xf>
    <xf borderId="29" fillId="27" fontId="63" numFmtId="10" xfId="0" applyAlignment="1" applyBorder="1" applyFont="1" applyNumberFormat="1">
      <alignment horizontal="center" readingOrder="0" vertical="center"/>
    </xf>
    <xf borderId="31" fillId="27" fontId="63" numFmtId="0" xfId="0" applyAlignment="1" applyBorder="1" applyFont="1">
      <alignment horizontal="center" readingOrder="0" vertical="center"/>
    </xf>
    <xf borderId="29" fillId="27" fontId="63" numFmtId="0" xfId="0" applyAlignment="1" applyBorder="1" applyFont="1">
      <alignment horizontal="center" readingOrder="0" vertical="center"/>
    </xf>
    <xf borderId="29" fillId="28" fontId="46" numFmtId="0" xfId="0" applyAlignment="1" applyBorder="1" applyFill="1" applyFont="1">
      <alignment horizontal="center" readingOrder="0" vertical="center"/>
    </xf>
    <xf borderId="30" fillId="28" fontId="63" numFmtId="0" xfId="0" applyAlignment="1" applyBorder="1" applyFont="1">
      <alignment horizontal="center" readingOrder="0" vertical="center"/>
    </xf>
    <xf borderId="31" fillId="28" fontId="63" numFmtId="10" xfId="0" applyAlignment="1" applyBorder="1" applyFont="1" applyNumberFormat="1">
      <alignment horizontal="center" readingOrder="0" vertical="center"/>
    </xf>
    <xf borderId="29" fillId="28" fontId="63" numFmtId="10" xfId="0" applyAlignment="1" applyBorder="1" applyFont="1" applyNumberFormat="1">
      <alignment horizontal="center" readingOrder="0" vertical="center"/>
    </xf>
    <xf borderId="0" fillId="28" fontId="64" numFmtId="0" xfId="0" applyAlignment="1" applyFont="1">
      <alignment horizontal="center" readingOrder="0" vertical="center"/>
    </xf>
    <xf borderId="29" fillId="29" fontId="46" numFmtId="0" xfId="0" applyAlignment="1" applyBorder="1" applyFill="1" applyFont="1">
      <alignment horizontal="center" vertical="center"/>
    </xf>
    <xf borderId="50" fillId="0" fontId="58" numFmtId="0" xfId="0" applyBorder="1" applyFont="1"/>
    <xf borderId="51" fillId="28" fontId="63" numFmtId="0" xfId="0" applyAlignment="1" applyBorder="1" applyFont="1">
      <alignment horizontal="center" readingOrder="0" vertical="center"/>
    </xf>
    <xf borderId="52" fillId="28" fontId="63" numFmtId="10" xfId="0" applyAlignment="1" applyBorder="1" applyFont="1" applyNumberFormat="1">
      <alignment horizontal="center" readingOrder="0" vertical="center"/>
    </xf>
    <xf borderId="50" fillId="28" fontId="63" numFmtId="10" xfId="0" applyAlignment="1" applyBorder="1" applyFont="1" applyNumberFormat="1">
      <alignment horizontal="center" readingOrder="0" vertical="center"/>
    </xf>
    <xf borderId="53" fillId="28" fontId="64" numFmtId="0" xfId="0" applyAlignment="1" applyBorder="1" applyFont="1">
      <alignment horizontal="center" readingOrder="0" vertical="center"/>
    </xf>
    <xf borderId="30" fillId="0" fontId="13" numFmtId="0" xfId="0" applyAlignment="1" applyBorder="1" applyFont="1">
      <alignment horizontal="center" readingOrder="0" vertical="center"/>
    </xf>
    <xf borderId="31" fillId="0" fontId="13" numFmtId="10" xfId="0" applyAlignment="1" applyBorder="1" applyFont="1" applyNumberFormat="1">
      <alignment horizontal="center" readingOrder="0" vertical="center"/>
    </xf>
    <xf borderId="29" fillId="0" fontId="13" numFmtId="10" xfId="0" applyAlignment="1" applyBorder="1" applyFont="1" applyNumberFormat="1">
      <alignment horizontal="center" readingOrder="0" vertical="center"/>
    </xf>
    <xf borderId="0" fillId="0" fontId="7" numFmtId="0" xfId="0" applyAlignment="1" applyFont="1">
      <alignment horizontal="center" readingOrder="0" vertical="center"/>
    </xf>
    <xf borderId="29" fillId="28" fontId="9" numFmtId="0" xfId="0" applyAlignment="1" applyBorder="1" applyFont="1">
      <alignment horizontal="center" readingOrder="0" vertical="center"/>
    </xf>
    <xf borderId="30" fillId="28" fontId="13" numFmtId="0" xfId="0" applyAlignment="1" applyBorder="1" applyFont="1">
      <alignment horizontal="center" readingOrder="0" vertical="center"/>
    </xf>
    <xf borderId="31" fillId="28" fontId="13" numFmtId="10" xfId="0" applyAlignment="1" applyBorder="1" applyFont="1" applyNumberFormat="1">
      <alignment horizontal="center" readingOrder="0" vertical="center"/>
    </xf>
    <xf borderId="29" fillId="28" fontId="13" numFmtId="10" xfId="0" applyAlignment="1" applyBorder="1" applyFont="1" applyNumberFormat="1">
      <alignment horizontal="center" readingOrder="0" vertical="center"/>
    </xf>
    <xf borderId="0" fillId="28" fontId="7" numFmtId="0" xfId="0" applyAlignment="1" applyFont="1">
      <alignment horizontal="center" readingOrder="0" vertical="center"/>
    </xf>
    <xf borderId="29" fillId="29" fontId="9" numFmtId="0" xfId="0" applyAlignment="1" applyBorder="1" applyFont="1">
      <alignment horizontal="center" vertical="center"/>
    </xf>
    <xf borderId="30" fillId="0" fontId="13" numFmtId="0" xfId="0" applyAlignment="1" applyBorder="1" applyFont="1">
      <alignment horizontal="center" vertical="center"/>
    </xf>
    <xf borderId="51" fillId="28" fontId="13" numFmtId="0" xfId="0" applyAlignment="1" applyBorder="1" applyFont="1">
      <alignment horizontal="center" readingOrder="0" vertical="center"/>
    </xf>
    <xf borderId="52" fillId="28" fontId="13" numFmtId="10" xfId="0" applyAlignment="1" applyBorder="1" applyFont="1" applyNumberFormat="1">
      <alignment horizontal="center" readingOrder="0" vertical="center"/>
    </xf>
    <xf borderId="50" fillId="28" fontId="13" numFmtId="10" xfId="0" applyAlignment="1" applyBorder="1" applyFont="1" applyNumberFormat="1">
      <alignment horizontal="center" readingOrder="0" vertical="center"/>
    </xf>
    <xf borderId="53" fillId="28" fontId="7" numFmtId="0" xfId="0" applyAlignment="1" applyBorder="1" applyFont="1">
      <alignment horizontal="center" readingOrder="0" vertical="center"/>
    </xf>
    <xf borderId="29" fillId="0" fontId="9" numFmtId="0" xfId="0" applyAlignment="1" applyBorder="1" applyFont="1">
      <alignment horizontal="center" readingOrder="0" vertical="center"/>
    </xf>
    <xf borderId="30" fillId="28" fontId="13" numFmtId="0" xfId="0" applyAlignment="1" applyBorder="1" applyFont="1">
      <alignment horizontal="center" vertical="center"/>
    </xf>
    <xf borderId="29" fillId="30" fontId="46" numFmtId="0" xfId="0" applyAlignment="1" applyBorder="1" applyFill="1" applyFont="1">
      <alignment horizontal="center" readingOrder="0" vertical="center"/>
    </xf>
    <xf borderId="30" fillId="30" fontId="63" numFmtId="0" xfId="0" applyAlignment="1" applyBorder="1" applyFont="1">
      <alignment horizontal="center" readingOrder="0" vertical="center"/>
    </xf>
    <xf borderId="31" fillId="30" fontId="63" numFmtId="10" xfId="0" applyAlignment="1" applyBorder="1" applyFont="1" applyNumberFormat="1">
      <alignment horizontal="center" readingOrder="0" vertical="center"/>
    </xf>
    <xf borderId="29" fillId="30" fontId="63" numFmtId="10" xfId="0" applyAlignment="1" applyBorder="1" applyFont="1" applyNumberFormat="1">
      <alignment horizontal="center" readingOrder="0" vertical="center"/>
    </xf>
    <xf borderId="0" fillId="30" fontId="64" numFmtId="0" xfId="0" applyAlignment="1" applyFont="1">
      <alignment horizontal="center" readingOrder="0" vertical="center"/>
    </xf>
    <xf borderId="29" fillId="31" fontId="46" numFmtId="0" xfId="0" applyAlignment="1" applyBorder="1" applyFill="1" applyFont="1">
      <alignment horizontal="center" vertical="center"/>
    </xf>
    <xf borderId="54" fillId="0" fontId="58" numFmtId="0" xfId="0" applyBorder="1" applyFont="1"/>
    <xf borderId="55" fillId="30" fontId="63" numFmtId="0" xfId="0" applyAlignment="1" applyBorder="1" applyFont="1">
      <alignment horizontal="center" readingOrder="0" vertical="center"/>
    </xf>
    <xf borderId="56" fillId="30" fontId="63" numFmtId="10" xfId="0" applyAlignment="1" applyBorder="1" applyFont="1" applyNumberFormat="1">
      <alignment horizontal="center" readingOrder="0" vertical="center"/>
    </xf>
    <xf borderId="54" fillId="30" fontId="63" numFmtId="10" xfId="0" applyAlignment="1" applyBorder="1" applyFont="1" applyNumberFormat="1">
      <alignment horizontal="center" readingOrder="0" vertical="center"/>
    </xf>
    <xf borderId="57" fillId="30" fontId="64" numFmtId="0" xfId="0" applyAlignment="1" applyBorder="1" applyFont="1">
      <alignment horizontal="center" readingOrder="0" vertical="center"/>
    </xf>
    <xf borderId="29" fillId="0" fontId="9" numFmtId="0" xfId="0" applyAlignment="1" applyBorder="1" applyFont="1">
      <alignment horizontal="center" readingOrder="0" vertical="center"/>
    </xf>
    <xf borderId="31" fillId="0" fontId="63" numFmtId="0" xfId="0" applyAlignment="1" applyBorder="1" applyFont="1">
      <alignment horizontal="center" readingOrder="0" vertical="center"/>
    </xf>
    <xf borderId="29" fillId="30" fontId="63" numFmtId="0" xfId="0" applyAlignment="1" applyBorder="1" applyFont="1">
      <alignment horizontal="center" readingOrder="0" vertical="center"/>
    </xf>
    <xf borderId="31" fillId="30" fontId="63" numFmtId="0" xfId="0" applyAlignment="1" applyBorder="1" applyFont="1">
      <alignment horizontal="center" readingOrder="0" vertical="center"/>
    </xf>
    <xf borderId="54" fillId="30" fontId="63" numFmtId="0" xfId="0" applyAlignment="1" applyBorder="1" applyFont="1">
      <alignment horizontal="center" readingOrder="0" vertical="center"/>
    </xf>
    <xf borderId="58" fillId="32" fontId="61" numFmtId="0" xfId="0" applyAlignment="1" applyBorder="1" applyFill="1" applyFont="1">
      <alignment horizontal="center" readingOrder="0" vertical="center"/>
    </xf>
    <xf borderId="58" fillId="32" fontId="61" numFmtId="0" xfId="0" applyAlignment="1" applyBorder="1" applyFont="1">
      <alignment horizontal="center" readingOrder="0" vertical="center"/>
    </xf>
    <xf borderId="59" fillId="24" fontId="46" numFmtId="0" xfId="0" applyAlignment="1" applyBorder="1" applyFont="1">
      <alignment horizontal="center" readingOrder="0" vertical="center"/>
    </xf>
    <xf borderId="60" fillId="8" fontId="64" numFmtId="0" xfId="0" applyAlignment="1" applyBorder="1" applyFont="1">
      <alignment horizontal="center" readingOrder="0" vertical="center"/>
    </xf>
    <xf borderId="61" fillId="8" fontId="63" numFmtId="9" xfId="0" applyAlignment="1" applyBorder="1" applyFont="1" applyNumberFormat="1">
      <alignment horizontal="center" readingOrder="0" vertical="center"/>
    </xf>
    <xf borderId="59" fillId="8" fontId="63" numFmtId="9" xfId="0" applyAlignment="1" applyBorder="1" applyFont="1" applyNumberFormat="1">
      <alignment horizontal="center" readingOrder="0" vertical="center"/>
    </xf>
    <xf borderId="59" fillId="21" fontId="46" numFmtId="0" xfId="0" applyAlignment="1" applyBorder="1" applyFont="1">
      <alignment horizontal="center" readingOrder="0" vertical="center"/>
    </xf>
    <xf borderId="60" fillId="21" fontId="64" numFmtId="0" xfId="0" applyAlignment="1" applyBorder="1" applyFont="1">
      <alignment horizontal="center" readingOrder="0" vertical="center"/>
    </xf>
    <xf borderId="61" fillId="21" fontId="63" numFmtId="9" xfId="0" applyAlignment="1" applyBorder="1" applyFont="1" applyNumberFormat="1">
      <alignment horizontal="center" readingOrder="0" vertical="center"/>
    </xf>
    <xf borderId="59" fillId="21" fontId="63" numFmtId="9" xfId="0" applyAlignment="1" applyBorder="1" applyFont="1" applyNumberFormat="1">
      <alignment horizontal="center" readingOrder="0" vertical="center"/>
    </xf>
    <xf borderId="59" fillId="0" fontId="58" numFmtId="0" xfId="0" applyBorder="1" applyFont="1"/>
    <xf borderId="61" fillId="8" fontId="63" numFmtId="0" xfId="0" applyAlignment="1" applyBorder="1" applyFont="1">
      <alignment horizontal="center" readingOrder="0" vertical="center"/>
    </xf>
    <xf borderId="59" fillId="8" fontId="63" numFmtId="0" xfId="0" applyAlignment="1" applyBorder="1" applyFont="1">
      <alignment horizontal="center" readingOrder="0" vertical="center"/>
    </xf>
    <xf borderId="61" fillId="21" fontId="63" numFmtId="0" xfId="0" applyAlignment="1" applyBorder="1" applyFont="1">
      <alignment horizontal="center" readingOrder="0" vertical="center"/>
    </xf>
    <xf borderId="59" fillId="21" fontId="63" numFmtId="0" xfId="0" applyAlignment="1" applyBorder="1" applyFont="1">
      <alignment horizontal="center" readingOrder="0" vertical="center"/>
    </xf>
    <xf borderId="62" fillId="8" fontId="64" numFmtId="0" xfId="0" applyAlignment="1" applyBorder="1" applyFont="1">
      <alignment horizontal="center" readingOrder="0" vertical="center"/>
    </xf>
    <xf borderId="63" fillId="8" fontId="63" numFmtId="0" xfId="0" applyAlignment="1" applyBorder="1" applyFont="1">
      <alignment horizontal="center" readingOrder="0" vertical="center"/>
    </xf>
    <xf borderId="64" fillId="8" fontId="63" numFmtId="0" xfId="0" applyAlignment="1" applyBorder="1" applyFont="1">
      <alignment horizontal="center" readingOrder="0" vertical="center"/>
    </xf>
    <xf borderId="65" fillId="8" fontId="64" numFmtId="0" xfId="0" applyAlignment="1" applyBorder="1" applyFont="1">
      <alignment horizontal="center" readingOrder="0" vertical="center"/>
    </xf>
    <xf borderId="66" fillId="24" fontId="46" numFmtId="0" xfId="0" applyAlignment="1" applyBorder="1" applyFont="1">
      <alignment horizontal="center" readingOrder="0" vertical="center"/>
    </xf>
    <xf borderId="64" fillId="0" fontId="58" numFmtId="0" xfId="0" applyBorder="1" applyFont="1"/>
    <xf borderId="67" fillId="8" fontId="64" numFmtId="0" xfId="0" applyAlignment="1" applyBorder="1" applyFont="1">
      <alignment horizontal="center" readingOrder="0" vertical="center"/>
    </xf>
    <xf borderId="66" fillId="24" fontId="9" numFmtId="0" xfId="0" applyAlignment="1" applyBorder="1" applyFont="1">
      <alignment horizontal="center" readingOrder="0" vertical="center"/>
    </xf>
    <xf borderId="60" fillId="8" fontId="7" numFmtId="0" xfId="0" applyAlignment="1" applyBorder="1" applyFont="1">
      <alignment horizontal="center" vertical="center"/>
    </xf>
    <xf borderId="61" fillId="8" fontId="13" numFmtId="9" xfId="0" applyAlignment="1" applyBorder="1" applyFont="1" applyNumberFormat="1">
      <alignment horizontal="center" readingOrder="0" vertical="center"/>
    </xf>
    <xf borderId="59" fillId="8" fontId="13" numFmtId="9" xfId="0" applyAlignment="1" applyBorder="1" applyFont="1" applyNumberFormat="1">
      <alignment horizontal="center" readingOrder="0" vertical="center"/>
    </xf>
    <xf borderId="0" fillId="8" fontId="7" numFmtId="0" xfId="0" applyAlignment="1" applyFont="1">
      <alignment horizontal="center" readingOrder="0" vertical="center"/>
    </xf>
    <xf borderId="59" fillId="21" fontId="9" numFmtId="0" xfId="0" applyAlignment="1" applyBorder="1" applyFont="1">
      <alignment vertical="center"/>
    </xf>
    <xf borderId="60" fillId="21" fontId="7" numFmtId="0" xfId="0" applyAlignment="1" applyBorder="1" applyFont="1">
      <alignment horizontal="center" vertical="center"/>
    </xf>
    <xf borderId="61" fillId="21" fontId="13" numFmtId="9" xfId="0" applyAlignment="1" applyBorder="1" applyFont="1" applyNumberFormat="1">
      <alignment horizontal="center" readingOrder="0" vertical="center"/>
    </xf>
    <xf borderId="59" fillId="21" fontId="13" numFmtId="9" xfId="0" applyAlignment="1" applyBorder="1" applyFont="1" applyNumberFormat="1">
      <alignment horizontal="center" readingOrder="0" vertical="center"/>
    </xf>
    <xf borderId="0" fillId="21" fontId="7" numFmtId="0" xfId="0" applyAlignment="1" applyFont="1">
      <alignment horizontal="center" readingOrder="0" vertical="center"/>
    </xf>
    <xf borderId="61" fillId="8" fontId="13" numFmtId="0" xfId="0" applyAlignment="1" applyBorder="1" applyFont="1">
      <alignment horizontal="center" readingOrder="0" vertical="center"/>
    </xf>
    <xf borderId="59" fillId="8" fontId="13" numFmtId="0" xfId="0" applyAlignment="1" applyBorder="1" applyFont="1">
      <alignment horizontal="center" readingOrder="0" vertical="center"/>
    </xf>
    <xf borderId="61" fillId="21" fontId="13" numFmtId="0" xfId="0" applyAlignment="1" applyBorder="1" applyFont="1">
      <alignment horizontal="center" readingOrder="0" vertical="center"/>
    </xf>
    <xf borderId="59" fillId="21" fontId="13" numFmtId="0" xfId="0" applyAlignment="1" applyBorder="1" applyFont="1">
      <alignment horizontal="center" readingOrder="0" vertical="center"/>
    </xf>
    <xf borderId="62" fillId="8" fontId="7" numFmtId="0" xfId="0" applyAlignment="1" applyBorder="1" applyFont="1">
      <alignment horizontal="center" vertical="center"/>
    </xf>
    <xf borderId="63" fillId="8" fontId="13" numFmtId="0" xfId="0" applyAlignment="1" applyBorder="1" applyFont="1">
      <alignment horizontal="center" readingOrder="0" vertical="center"/>
    </xf>
    <xf borderId="64" fillId="8" fontId="13" numFmtId="0" xfId="0" applyAlignment="1" applyBorder="1" applyFont="1">
      <alignment horizontal="center" readingOrder="0" vertical="center"/>
    </xf>
    <xf borderId="67" fillId="8" fontId="7" numFmtId="0" xfId="0" applyAlignment="1" applyBorder="1" applyFont="1">
      <alignment horizontal="center" readingOrder="0" vertical="center"/>
    </xf>
    <xf borderId="66" fillId="33" fontId="70" numFmtId="0" xfId="0" applyAlignment="1" applyBorder="1" applyFill="1" applyFont="1">
      <alignment horizontal="center" readingOrder="0" vertical="center"/>
    </xf>
    <xf borderId="59" fillId="22" fontId="46" numFmtId="0" xfId="0" applyAlignment="1" applyBorder="1" applyFont="1">
      <alignment horizontal="center" readingOrder="0" vertical="center"/>
    </xf>
    <xf borderId="60" fillId="22" fontId="64" numFmtId="0" xfId="0" applyAlignment="1" applyBorder="1" applyFont="1">
      <alignment horizontal="center" readingOrder="0" vertical="center"/>
    </xf>
    <xf borderId="61" fillId="22" fontId="63" numFmtId="9" xfId="0" applyAlignment="1" applyBorder="1" applyFont="1" applyNumberFormat="1">
      <alignment horizontal="center" readingOrder="0" vertical="center"/>
    </xf>
    <xf borderId="59" fillId="22" fontId="63" numFmtId="9" xfId="0" applyAlignment="1" applyBorder="1" applyFont="1" applyNumberFormat="1">
      <alignment horizontal="center" readingOrder="0" vertical="center"/>
    </xf>
    <xf borderId="0" fillId="22" fontId="64" numFmtId="0" xfId="0" applyAlignment="1" applyFont="1">
      <alignment horizontal="center" readingOrder="0" vertical="center"/>
    </xf>
    <xf borderId="61" fillId="22" fontId="63" numFmtId="0" xfId="0" applyAlignment="1" applyBorder="1" applyFont="1">
      <alignment horizontal="center" readingOrder="0" vertical="center"/>
    </xf>
    <xf borderId="59" fillId="22" fontId="63" numFmtId="0" xfId="0" applyAlignment="1" applyBorder="1" applyFont="1">
      <alignment horizontal="center" readingOrder="0" vertical="center"/>
    </xf>
    <xf borderId="59" fillId="22" fontId="9" numFmtId="0" xfId="0" applyAlignment="1" applyBorder="1" applyFont="1">
      <alignment vertical="center"/>
    </xf>
    <xf borderId="60" fillId="22" fontId="7" numFmtId="0" xfId="0" applyAlignment="1" applyBorder="1" applyFont="1">
      <alignment horizontal="center" vertical="center"/>
    </xf>
    <xf borderId="61" fillId="22" fontId="13" numFmtId="9" xfId="0" applyAlignment="1" applyBorder="1" applyFont="1" applyNumberFormat="1">
      <alignment horizontal="center" vertical="center"/>
    </xf>
    <xf borderId="59" fillId="22" fontId="13" numFmtId="9" xfId="0" applyAlignment="1" applyBorder="1" applyFont="1" applyNumberFormat="1">
      <alignment horizontal="center" readingOrder="0" vertical="center"/>
    </xf>
    <xf borderId="0" fillId="22" fontId="7" numFmtId="0" xfId="0" applyAlignment="1" applyFont="1">
      <alignment horizontal="center" readingOrder="0" vertical="center"/>
    </xf>
    <xf borderId="61" fillId="8" fontId="13" numFmtId="0" xfId="0" applyAlignment="1" applyBorder="1" applyFont="1">
      <alignment horizontal="center" vertical="center"/>
    </xf>
    <xf borderId="0" fillId="8" fontId="7" numFmtId="0" xfId="0" applyAlignment="1" applyFont="1">
      <alignment horizontal="center" vertical="center"/>
    </xf>
    <xf borderId="61" fillId="22" fontId="13" numFmtId="0" xfId="0" applyAlignment="1" applyBorder="1" applyFont="1">
      <alignment horizontal="center" vertical="center"/>
    </xf>
    <xf borderId="59" fillId="22" fontId="13" numFmtId="0" xfId="0" applyAlignment="1" applyBorder="1" applyFont="1">
      <alignment horizontal="center" readingOrder="0" vertical="center"/>
    </xf>
    <xf borderId="59" fillId="8" fontId="13" numFmtId="9" xfId="0" applyAlignment="1" applyBorder="1" applyFont="1" applyNumberFormat="1">
      <alignment horizontal="center" vertical="center"/>
    </xf>
    <xf borderId="61" fillId="22" fontId="13" numFmtId="0" xfId="0" applyAlignment="1" applyBorder="1" applyFont="1">
      <alignment horizontal="center" readingOrder="0" vertical="center"/>
    </xf>
    <xf borderId="0" fillId="22" fontId="7" numFmtId="0" xfId="0" applyAlignment="1" applyFont="1">
      <alignment horizontal="center" vertical="center"/>
    </xf>
    <xf borderId="67" fillId="8" fontId="7" numFmtId="0" xfId="0" applyAlignment="1" applyBorder="1" applyFont="1">
      <alignment horizontal="center" vertical="center"/>
    </xf>
    <xf borderId="61" fillId="8" fontId="13" numFmtId="9" xfId="0" applyAlignment="1" applyBorder="1" applyFont="1" applyNumberFormat="1">
      <alignment horizontal="center" vertical="center"/>
    </xf>
    <xf borderId="61" fillId="22" fontId="13" numFmtId="9" xfId="0" applyAlignment="1" applyBorder="1" applyFont="1" applyNumberFormat="1">
      <alignment horizontal="center" readingOrder="0" vertical="center"/>
    </xf>
    <xf borderId="59" fillId="8" fontId="13" numFmtId="0" xfId="0" applyAlignment="1" applyBorder="1" applyFont="1">
      <alignment horizontal="center" vertical="center"/>
    </xf>
    <xf borderId="59" fillId="22" fontId="13" numFmtId="0" xfId="0" applyAlignment="1" applyBorder="1" applyFont="1">
      <alignment horizontal="center" vertical="center"/>
    </xf>
    <xf borderId="64" fillId="8" fontId="13" numFmtId="0" xfId="0" applyAlignment="1" applyBorder="1" applyFont="1">
      <alignment horizontal="center" vertical="center"/>
    </xf>
    <xf borderId="45" fillId="0" fontId="64" numFmtId="0" xfId="0" applyAlignment="1" applyBorder="1" applyFont="1">
      <alignment horizontal="center" readingOrder="0" vertical="center"/>
    </xf>
    <xf borderId="59" fillId="26" fontId="46" numFmtId="0" xfId="0" applyAlignment="1" applyBorder="1" applyFont="1">
      <alignment horizontal="center" readingOrder="0" vertical="center"/>
    </xf>
    <xf borderId="61" fillId="0" fontId="63" numFmtId="9" xfId="0" applyAlignment="1" applyBorder="1" applyFont="1" applyNumberFormat="1">
      <alignment horizontal="center" readingOrder="0" vertical="center"/>
    </xf>
    <xf borderId="59" fillId="0" fontId="63" numFmtId="9" xfId="0" applyAlignment="1" applyBorder="1" applyFont="1" applyNumberFormat="1">
      <alignment horizontal="center" readingOrder="0" vertical="center"/>
    </xf>
    <xf borderId="59" fillId="18" fontId="46" numFmtId="0" xfId="0" applyAlignment="1" applyBorder="1" applyFont="1">
      <alignment horizontal="center" readingOrder="0" vertical="center"/>
    </xf>
    <xf borderId="60" fillId="18" fontId="64" numFmtId="0" xfId="0" applyAlignment="1" applyBorder="1" applyFont="1">
      <alignment horizontal="center" readingOrder="0" vertical="center"/>
    </xf>
    <xf borderId="61" fillId="18" fontId="63" numFmtId="9" xfId="0" applyAlignment="1" applyBorder="1" applyFont="1" applyNumberFormat="1">
      <alignment horizontal="center" readingOrder="0" vertical="center"/>
    </xf>
    <xf borderId="59" fillId="18" fontId="63" numFmtId="9" xfId="0" applyAlignment="1" applyBorder="1" applyFont="1" applyNumberFormat="1">
      <alignment horizontal="center" readingOrder="0" vertical="center"/>
    </xf>
    <xf borderId="61" fillId="0" fontId="63" numFmtId="0" xfId="0" applyAlignment="1" applyBorder="1" applyFont="1">
      <alignment horizontal="center" readingOrder="0" vertical="center"/>
    </xf>
    <xf borderId="59" fillId="0" fontId="63" numFmtId="0" xfId="0" applyAlignment="1" applyBorder="1" applyFont="1">
      <alignment horizontal="center" readingOrder="0" vertical="center"/>
    </xf>
    <xf borderId="61" fillId="18" fontId="63" numFmtId="0" xfId="0" applyAlignment="1" applyBorder="1" applyFont="1">
      <alignment horizontal="center" readingOrder="0" vertical="center"/>
    </xf>
    <xf borderId="59" fillId="18" fontId="63" numFmtId="0" xfId="0" applyAlignment="1" applyBorder="1" applyFont="1">
      <alignment horizontal="center" readingOrder="0" vertical="center"/>
    </xf>
    <xf borderId="68" fillId="0" fontId="58" numFmtId="0" xfId="0" applyBorder="1" applyFont="1"/>
    <xf borderId="69" fillId="8" fontId="64" numFmtId="0" xfId="0" applyAlignment="1" applyBorder="1" applyFont="1">
      <alignment horizontal="center" readingOrder="0" vertical="center"/>
    </xf>
    <xf borderId="70" fillId="0" fontId="63" numFmtId="0" xfId="0" applyAlignment="1" applyBorder="1" applyFont="1">
      <alignment horizontal="center" readingOrder="0" vertical="center"/>
    </xf>
    <xf borderId="68" fillId="0" fontId="63" numFmtId="0" xfId="0" applyAlignment="1" applyBorder="1" applyFont="1">
      <alignment horizontal="center" readingOrder="0" vertical="center"/>
    </xf>
    <xf borderId="59" fillId="15" fontId="46" numFmtId="0" xfId="0" applyAlignment="1" applyBorder="1" applyFont="1">
      <alignment horizontal="center" readingOrder="0" vertical="center"/>
    </xf>
    <xf borderId="59" fillId="27" fontId="46" numFmtId="0" xfId="0" applyAlignment="1" applyBorder="1" applyFont="1">
      <alignment horizontal="center" vertical="center"/>
    </xf>
    <xf borderId="60" fillId="27" fontId="64" numFmtId="0" xfId="0" applyAlignment="1" applyBorder="1" applyFont="1">
      <alignment horizontal="center" readingOrder="0" vertical="center"/>
    </xf>
    <xf borderId="61" fillId="27" fontId="63" numFmtId="9" xfId="0" applyAlignment="1" applyBorder="1" applyFont="1" applyNumberFormat="1">
      <alignment horizontal="center" readingOrder="0" vertical="center"/>
    </xf>
    <xf borderId="59" fillId="27" fontId="63" numFmtId="9" xfId="0" applyAlignment="1" applyBorder="1" applyFont="1" applyNumberFormat="1">
      <alignment horizontal="center" readingOrder="0" vertical="center"/>
    </xf>
    <xf borderId="61" fillId="27" fontId="63" numFmtId="0" xfId="0" applyAlignment="1" applyBorder="1" applyFont="1">
      <alignment horizontal="center" readingOrder="0" vertical="center"/>
    </xf>
    <xf borderId="59" fillId="27" fontId="63" numFmtId="0" xfId="0" applyAlignment="1" applyBorder="1" applyFont="1">
      <alignment horizontal="center" readingOrder="0" vertical="center"/>
    </xf>
    <xf borderId="71" fillId="0" fontId="58" numFmtId="0" xfId="0" applyBorder="1" applyFont="1"/>
    <xf borderId="72" fillId="8" fontId="64" numFmtId="0" xfId="0" applyAlignment="1" applyBorder="1" applyFont="1">
      <alignment horizontal="center" readingOrder="0" vertical="center"/>
    </xf>
    <xf borderId="73" fillId="0" fontId="63" numFmtId="0" xfId="0" applyAlignment="1" applyBorder="1" applyFont="1">
      <alignment horizontal="center" readingOrder="0" vertical="center"/>
    </xf>
    <xf borderId="71" fillId="0" fontId="63" numFmtId="0" xfId="0" applyAlignment="1" applyBorder="1" applyFont="1">
      <alignment horizontal="center" readingOrder="0" vertical="center"/>
    </xf>
    <xf borderId="59" fillId="29" fontId="46" numFmtId="0" xfId="0" applyAlignment="1" applyBorder="1" applyFont="1">
      <alignment horizontal="center" readingOrder="0" vertical="center"/>
    </xf>
    <xf borderId="59" fillId="28" fontId="46" numFmtId="0" xfId="0" applyAlignment="1" applyBorder="1" applyFont="1">
      <alignment horizontal="center" vertical="center"/>
    </xf>
    <xf borderId="60" fillId="28" fontId="64" numFmtId="0" xfId="0" applyAlignment="1" applyBorder="1" applyFont="1">
      <alignment horizontal="center" readingOrder="0" vertical="center"/>
    </xf>
    <xf borderId="61" fillId="28" fontId="63" numFmtId="9" xfId="0" applyAlignment="1" applyBorder="1" applyFont="1" applyNumberFormat="1">
      <alignment horizontal="center" readingOrder="0" vertical="center"/>
    </xf>
    <xf borderId="59" fillId="28" fontId="63" numFmtId="9" xfId="0" applyAlignment="1" applyBorder="1" applyFont="1" applyNumberFormat="1">
      <alignment horizontal="center" readingOrder="0" vertical="center"/>
    </xf>
    <xf borderId="61" fillId="28" fontId="63" numFmtId="0" xfId="0" applyAlignment="1" applyBorder="1" applyFont="1">
      <alignment horizontal="center" readingOrder="0" vertical="center"/>
    </xf>
    <xf borderId="59" fillId="28" fontId="63" numFmtId="0" xfId="0" applyAlignment="1" applyBorder="1" applyFont="1">
      <alignment horizontal="center" readingOrder="0" vertical="center"/>
    </xf>
    <xf borderId="65" fillId="0" fontId="64" numFmtId="0" xfId="0" applyAlignment="1" applyBorder="1" applyFont="1">
      <alignment horizontal="center" readingOrder="0" vertical="center"/>
    </xf>
    <xf borderId="61" fillId="0" fontId="13" numFmtId="9" xfId="0" applyAlignment="1" applyBorder="1" applyFont="1" applyNumberFormat="1">
      <alignment horizontal="center" readingOrder="0" vertical="center"/>
    </xf>
    <xf borderId="59" fillId="0" fontId="13" numFmtId="9" xfId="0" applyAlignment="1" applyBorder="1" applyFont="1" applyNumberFormat="1">
      <alignment horizontal="center" readingOrder="0" vertical="center"/>
    </xf>
    <xf borderId="59" fillId="28" fontId="9" numFmtId="0" xfId="0" applyAlignment="1" applyBorder="1" applyFont="1">
      <alignment horizontal="left" vertical="center"/>
    </xf>
    <xf borderId="60" fillId="28" fontId="7" numFmtId="0" xfId="0" applyAlignment="1" applyBorder="1" applyFont="1">
      <alignment horizontal="center" vertical="center"/>
    </xf>
    <xf borderId="61" fillId="28" fontId="13" numFmtId="9" xfId="0" applyAlignment="1" applyBorder="1" applyFont="1" applyNumberFormat="1">
      <alignment horizontal="center" readingOrder="0" vertical="center"/>
    </xf>
    <xf borderId="59" fillId="28" fontId="13" numFmtId="9" xfId="0" applyAlignment="1" applyBorder="1" applyFont="1" applyNumberFormat="1">
      <alignment horizontal="center" readingOrder="0" vertical="center"/>
    </xf>
    <xf borderId="61" fillId="0" fontId="13" numFmtId="0" xfId="0" applyAlignment="1" applyBorder="1" applyFont="1">
      <alignment horizontal="center" readingOrder="0" vertical="center"/>
    </xf>
    <xf borderId="59" fillId="0" fontId="13" numFmtId="0" xfId="0" applyAlignment="1" applyBorder="1" applyFont="1">
      <alignment horizontal="center" readingOrder="0" vertical="center"/>
    </xf>
    <xf borderId="61" fillId="28" fontId="13" numFmtId="0" xfId="0" applyAlignment="1" applyBorder="1" applyFont="1">
      <alignment horizontal="center" vertical="center"/>
    </xf>
    <xf borderId="59" fillId="28" fontId="13" numFmtId="0" xfId="0" applyAlignment="1" applyBorder="1" applyFont="1">
      <alignment horizontal="center" vertical="center"/>
    </xf>
    <xf borderId="61" fillId="28" fontId="13" numFmtId="0" xfId="0" applyAlignment="1" applyBorder="1" applyFont="1">
      <alignment horizontal="center" readingOrder="0" vertical="center"/>
    </xf>
    <xf borderId="59" fillId="28" fontId="13" numFmtId="0" xfId="0" applyAlignment="1" applyBorder="1" applyFont="1">
      <alignment horizontal="center" readingOrder="0" vertical="center"/>
    </xf>
    <xf borderId="72" fillId="8" fontId="7" numFmtId="0" xfId="0" applyAlignment="1" applyBorder="1" applyFont="1">
      <alignment horizontal="center" vertical="center"/>
    </xf>
    <xf borderId="73" fillId="0" fontId="13" numFmtId="0" xfId="0" applyAlignment="1" applyBorder="1" applyFont="1">
      <alignment horizontal="center" vertical="center"/>
    </xf>
    <xf borderId="71" fillId="0" fontId="13" numFmtId="0" xfId="0" applyAlignment="1" applyBorder="1" applyFont="1">
      <alignment horizontal="center" vertical="center"/>
    </xf>
    <xf borderId="59" fillId="29" fontId="9" numFmtId="0" xfId="0" applyAlignment="1" applyBorder="1" applyFont="1">
      <alignment horizontal="center" readingOrder="0" vertical="center"/>
    </xf>
    <xf borderId="59" fillId="28" fontId="9" numFmtId="0" xfId="0" applyAlignment="1" applyBorder="1" applyFont="1">
      <alignment vertical="center"/>
    </xf>
    <xf borderId="61" fillId="0" fontId="13" numFmtId="9" xfId="0" applyAlignment="1" applyBorder="1" applyFont="1" applyNumberFormat="1">
      <alignment horizontal="center" vertical="center"/>
    </xf>
    <xf borderId="59" fillId="0" fontId="13" numFmtId="9" xfId="0" applyAlignment="1" applyBorder="1" applyFont="1" applyNumberFormat="1">
      <alignment horizontal="center" vertical="center"/>
    </xf>
    <xf borderId="73" fillId="0" fontId="13" numFmtId="0" xfId="0" applyAlignment="1" applyBorder="1" applyFont="1">
      <alignment horizontal="center" readingOrder="0" vertical="center"/>
    </xf>
    <xf borderId="71" fillId="0" fontId="13" numFmtId="0" xfId="0" applyAlignment="1" applyBorder="1" applyFont="1">
      <alignment horizontal="center" readingOrder="0" vertical="center"/>
    </xf>
    <xf borderId="65" fillId="0" fontId="7" numFmtId="0" xfId="0" applyAlignment="1" applyBorder="1" applyFont="1">
      <alignment horizontal="center" vertical="center"/>
    </xf>
    <xf borderId="0" fillId="0" fontId="13" numFmtId="0" xfId="0" applyAlignment="1" applyFont="1">
      <alignment horizontal="center" readingOrder="0" vertical="center"/>
    </xf>
    <xf borderId="74" fillId="8" fontId="7" numFmtId="0" xfId="0" applyAlignment="1" applyBorder="1" applyFont="1">
      <alignment horizontal="center" vertical="center"/>
    </xf>
    <xf borderId="65" fillId="0" fontId="7" numFmtId="0" xfId="0" applyAlignment="1" applyBorder="1" applyFont="1">
      <alignment horizontal="center" readingOrder="0" vertical="center"/>
    </xf>
    <xf borderId="59" fillId="34" fontId="70" numFmtId="0" xfId="0" applyAlignment="1" applyBorder="1" applyFill="1" applyFont="1">
      <alignment horizontal="center" readingOrder="0" vertical="center"/>
    </xf>
    <xf borderId="60" fillId="0" fontId="64" numFmtId="0" xfId="0" applyAlignment="1" applyBorder="1" applyFont="1">
      <alignment horizontal="center" readingOrder="0" vertical="center"/>
    </xf>
    <xf borderId="59" fillId="14" fontId="46" numFmtId="0" xfId="0" applyAlignment="1" applyBorder="1" applyFont="1">
      <alignment horizontal="center" vertical="center"/>
    </xf>
    <xf borderId="60" fillId="14" fontId="64" numFmtId="0" xfId="0" applyAlignment="1" applyBorder="1" applyFont="1">
      <alignment horizontal="center" readingOrder="0" vertical="center"/>
    </xf>
    <xf borderId="61" fillId="14" fontId="63" numFmtId="9" xfId="0" applyAlignment="1" applyBorder="1" applyFont="1" applyNumberFormat="1">
      <alignment horizontal="center" readingOrder="0" vertical="center"/>
    </xf>
    <xf borderId="59" fillId="14" fontId="63" numFmtId="9" xfId="0" applyAlignment="1" applyBorder="1" applyFont="1" applyNumberFormat="1">
      <alignment horizontal="center" readingOrder="0" vertical="center"/>
    </xf>
    <xf borderId="0" fillId="14" fontId="64" numFmtId="0" xfId="0" applyAlignment="1" applyFont="1">
      <alignment horizontal="center" readingOrder="0" vertical="center"/>
    </xf>
    <xf borderId="61" fillId="14" fontId="63" numFmtId="0" xfId="0" applyAlignment="1" applyBorder="1" applyFont="1">
      <alignment horizontal="center" readingOrder="0" vertical="center"/>
    </xf>
    <xf borderId="59" fillId="14" fontId="63" numFmtId="0" xfId="0" applyAlignment="1" applyBorder="1" applyFont="1">
      <alignment horizontal="center" readingOrder="0" vertical="center"/>
    </xf>
    <xf borderId="72" fillId="0" fontId="64" numFmtId="0" xfId="0" applyAlignment="1" applyBorder="1" applyFont="1">
      <alignment horizontal="center" readingOrder="0" vertical="center"/>
    </xf>
    <xf borderId="59" fillId="31" fontId="70" numFmtId="0" xfId="0" applyAlignment="1" applyBorder="1" applyFont="1">
      <alignment horizontal="center" readingOrder="0" vertical="center"/>
    </xf>
    <xf borderId="59" fillId="30" fontId="70" numFmtId="0" xfId="0" applyAlignment="1" applyBorder="1" applyFont="1">
      <alignment horizontal="center" vertical="center"/>
    </xf>
    <xf borderId="60" fillId="30" fontId="64" numFmtId="0" xfId="0" applyAlignment="1" applyBorder="1" applyFont="1">
      <alignment horizontal="center" readingOrder="0" vertical="center"/>
    </xf>
    <xf borderId="61" fillId="30" fontId="63" numFmtId="9" xfId="0" applyAlignment="1" applyBorder="1" applyFont="1" applyNumberFormat="1">
      <alignment horizontal="center" readingOrder="0" vertical="center"/>
    </xf>
    <xf borderId="59" fillId="30" fontId="63" numFmtId="9" xfId="0" applyAlignment="1" applyBorder="1" applyFont="1" applyNumberFormat="1">
      <alignment horizontal="center" readingOrder="0" vertical="center"/>
    </xf>
    <xf borderId="61" fillId="30" fontId="63" numFmtId="0" xfId="0" applyAlignment="1" applyBorder="1" applyFont="1">
      <alignment horizontal="center" readingOrder="0" vertical="center"/>
    </xf>
    <xf borderId="59" fillId="30" fontId="63" numFmtId="0" xfId="0" applyAlignment="1" applyBorder="1" applyFont="1">
      <alignment horizontal="center" readingOrder="0" vertical="center"/>
    </xf>
    <xf borderId="9" fillId="0" fontId="46" numFmtId="49" xfId="0" applyAlignment="1" applyBorder="1" applyFont="1" applyNumberFormat="1">
      <alignment horizontal="center" readingOrder="0" shrinkToFit="0" vertical="center" wrapText="0"/>
    </xf>
    <xf borderId="0" fillId="0" fontId="71" numFmtId="0" xfId="0" applyAlignment="1" applyFont="1">
      <alignment horizontal="center" shrinkToFit="0" vertical="center" wrapText="0"/>
    </xf>
    <xf borderId="9" fillId="0" fontId="71" numFmtId="0" xfId="0" applyAlignment="1" applyBorder="1" applyFont="1">
      <alignment horizontal="center" readingOrder="0" shrinkToFit="0" vertical="center" wrapText="0"/>
    </xf>
    <xf borderId="9" fillId="0" fontId="72" numFmtId="0" xfId="0" applyAlignment="1" applyBorder="1" applyFont="1">
      <alignment horizontal="center" readingOrder="0" shrinkToFit="0" vertical="center" wrapText="0"/>
    </xf>
    <xf borderId="9" fillId="0" fontId="73" numFmtId="0" xfId="0" applyAlignment="1" applyBorder="1" applyFont="1">
      <alignment horizontal="center" readingOrder="0" shrinkToFit="0" vertical="center" wrapText="0"/>
    </xf>
    <xf borderId="0" fillId="0" fontId="71" numFmtId="0" xfId="0" applyAlignment="1" applyFont="1">
      <alignment horizontal="center" readingOrder="0" shrinkToFit="0" vertical="center" wrapText="0"/>
    </xf>
    <xf borderId="9" fillId="0" fontId="74" numFmtId="0" xfId="0" applyAlignment="1" applyBorder="1" applyFont="1">
      <alignment horizontal="center" readingOrder="0" shrinkToFit="0" vertical="center" wrapText="0"/>
    </xf>
    <xf borderId="0" fillId="0" fontId="71" numFmtId="0" xfId="0" applyAlignment="1" applyFont="1">
      <alignment horizontal="center" shrinkToFit="0" vertical="center" wrapText="0"/>
    </xf>
    <xf borderId="9" fillId="0" fontId="71" numFmtId="0" xfId="0" applyAlignment="1" applyBorder="1" applyFont="1">
      <alignment horizontal="center" readingOrder="0" shrinkToFit="0" vertical="center" wrapText="0"/>
    </xf>
    <xf borderId="75" fillId="0" fontId="75" numFmtId="0" xfId="0" applyAlignment="1" applyBorder="1" applyFont="1">
      <alignment horizontal="center" readingOrder="0" shrinkToFit="0" vertical="center" wrapText="0"/>
    </xf>
    <xf borderId="0" fillId="0" fontId="75" numFmtId="0" xfId="0" applyAlignment="1" applyFont="1">
      <alignment horizontal="center" readingOrder="0" shrinkToFit="0" vertical="center" wrapText="0"/>
    </xf>
    <xf borderId="0" fillId="35" fontId="75" numFmtId="0" xfId="0" applyAlignment="1" applyFill="1" applyFont="1">
      <alignment horizontal="center" vertical="center"/>
    </xf>
    <xf borderId="76" fillId="0" fontId="75" numFmtId="0" xfId="0" applyAlignment="1" applyBorder="1" applyFont="1">
      <alignment horizontal="center" readingOrder="0" shrinkToFit="0" vertical="center" wrapText="0"/>
    </xf>
    <xf borderId="77" fillId="0" fontId="75" numFmtId="0" xfId="0" applyAlignment="1" applyBorder="1" applyFont="1">
      <alignment horizontal="center" readingOrder="0" shrinkToFit="0" vertical="center" wrapText="0"/>
    </xf>
    <xf borderId="78" fillId="0" fontId="75" numFmtId="0" xfId="0" applyAlignment="1" applyBorder="1" applyFont="1">
      <alignment horizontal="center" readingOrder="0" shrinkToFit="0" vertical="center" wrapText="0"/>
    </xf>
    <xf borderId="79" fillId="0" fontId="75" numFmtId="0" xfId="0" applyAlignment="1" applyBorder="1" applyFont="1">
      <alignment horizontal="center" readingOrder="0" shrinkToFit="0" vertical="center" wrapText="0"/>
    </xf>
    <xf borderId="80" fillId="0" fontId="75" numFmtId="0" xfId="0" applyAlignment="1" applyBorder="1" applyFont="1">
      <alignment horizontal="center" readingOrder="0" shrinkToFit="0" vertical="center" wrapText="0"/>
    </xf>
    <xf borderId="81" fillId="0" fontId="75" numFmtId="0" xfId="0" applyAlignment="1" applyBorder="1" applyFont="1">
      <alignment horizontal="center" readingOrder="0" shrinkToFit="0" vertical="center" wrapText="0"/>
    </xf>
    <xf borderId="82" fillId="0" fontId="75" numFmtId="0" xfId="0" applyAlignment="1" applyBorder="1" applyFont="1">
      <alignment horizontal="center" readingOrder="0" shrinkToFit="0" vertical="center" wrapText="0"/>
    </xf>
    <xf borderId="83" fillId="0" fontId="75" numFmtId="0" xfId="0" applyAlignment="1" applyBorder="1" applyFont="1">
      <alignment horizontal="center" readingOrder="0" shrinkToFit="0" vertical="center" wrapText="0"/>
    </xf>
    <xf borderId="75" fillId="0" fontId="7" numFmtId="0" xfId="0" applyAlignment="1" applyBorder="1" applyFont="1">
      <alignment horizontal="center" shrinkToFit="0" vertical="center" wrapText="0"/>
    </xf>
    <xf borderId="0" fillId="0" fontId="7" numFmtId="0" xfId="0" applyAlignment="1" applyFont="1">
      <alignment horizontal="center" readingOrder="0" shrinkToFit="0" vertical="center" wrapText="0"/>
    </xf>
    <xf borderId="75" fillId="0" fontId="7" numFmtId="0" xfId="0" applyAlignment="1" applyBorder="1" applyFont="1">
      <alignment horizontal="center" readingOrder="0" shrinkToFit="0" vertical="center" wrapText="0"/>
    </xf>
    <xf borderId="0" fillId="5" fontId="7" numFmtId="0" xfId="0" applyAlignment="1" applyFont="1">
      <alignment horizontal="center" vertical="center"/>
    </xf>
    <xf borderId="76" fillId="0" fontId="7" numFmtId="0" xfId="0" applyAlignment="1" applyBorder="1" applyFont="1">
      <alignment horizontal="center" shrinkToFit="0" vertical="center" wrapText="0"/>
    </xf>
    <xf borderId="77" fillId="0" fontId="7" numFmtId="0" xfId="0" applyAlignment="1" applyBorder="1" applyFont="1">
      <alignment horizontal="center" readingOrder="0" shrinkToFit="0" vertical="center" wrapText="0"/>
    </xf>
    <xf borderId="78" fillId="0" fontId="7" numFmtId="0" xfId="0" applyAlignment="1" applyBorder="1" applyFont="1">
      <alignment horizontal="center" shrinkToFit="0" vertical="center" wrapText="0"/>
    </xf>
    <xf borderId="79" fillId="0" fontId="7" numFmtId="0" xfId="0" applyAlignment="1" applyBorder="1" applyFont="1">
      <alignment horizontal="center" readingOrder="0" shrinkToFit="0" vertical="center" wrapText="0"/>
    </xf>
    <xf borderId="80" fillId="0" fontId="7" numFmtId="0" xfId="0" applyAlignment="1" applyBorder="1" applyFont="1">
      <alignment horizontal="center" shrinkToFit="0" vertical="center" wrapText="0"/>
    </xf>
    <xf borderId="81" fillId="0" fontId="7" numFmtId="0" xfId="0" applyAlignment="1" applyBorder="1" applyFont="1">
      <alignment horizontal="center" readingOrder="0" shrinkToFit="0" vertical="center" wrapText="0"/>
    </xf>
    <xf borderId="82" fillId="0" fontId="7" numFmtId="0" xfId="0" applyAlignment="1" applyBorder="1" applyFont="1">
      <alignment horizontal="center" shrinkToFit="0" vertical="center" wrapText="0"/>
    </xf>
    <xf borderId="83" fillId="0" fontId="7" numFmtId="0" xfId="0" applyAlignment="1" applyBorder="1" applyFont="1">
      <alignment horizontal="center" readingOrder="0" shrinkToFit="0" vertical="center" wrapText="0"/>
    </xf>
    <xf borderId="75" fillId="0" fontId="7" numFmtId="0" xfId="0" applyAlignment="1" applyBorder="1" applyFont="1">
      <alignment horizontal="center" shrinkToFit="0" vertical="center" wrapText="0"/>
    </xf>
    <xf borderId="0" fillId="0" fontId="7" numFmtId="0" xfId="0" applyAlignment="1" applyFont="1">
      <alignment horizontal="center" readingOrder="0" shrinkToFit="0" vertical="center" wrapText="0"/>
    </xf>
    <xf borderId="75" fillId="0" fontId="7" numFmtId="0" xfId="0" applyAlignment="1" applyBorder="1" applyFont="1">
      <alignment horizontal="center" readingOrder="0" shrinkToFit="0" vertical="center" wrapText="0"/>
    </xf>
    <xf borderId="76" fillId="0" fontId="7" numFmtId="0" xfId="0" applyAlignment="1" applyBorder="1" applyFont="1">
      <alignment horizontal="center" readingOrder="0" shrinkToFit="0" vertical="center" wrapText="0"/>
    </xf>
    <xf borderId="76" fillId="0" fontId="7" numFmtId="0" xfId="0" applyAlignment="1" applyBorder="1" applyFont="1">
      <alignment horizontal="center" shrinkToFit="0" vertical="center" wrapText="0"/>
    </xf>
    <xf borderId="78" fillId="0" fontId="7" numFmtId="0" xfId="0" applyAlignment="1" applyBorder="1" applyFont="1">
      <alignment horizontal="center" readingOrder="0" shrinkToFit="0" vertical="center" wrapText="0"/>
    </xf>
    <xf borderId="76" fillId="0" fontId="7" numFmtId="0" xfId="0" applyAlignment="1" applyBorder="1" applyFont="1">
      <alignment horizontal="center" readingOrder="0" shrinkToFit="0" vertical="center" wrapText="0"/>
    </xf>
    <xf borderId="80" fillId="0" fontId="7" numFmtId="0" xfId="0" applyAlignment="1" applyBorder="1" applyFont="1">
      <alignment horizontal="center" readingOrder="0" shrinkToFit="0" vertical="center" wrapText="0"/>
    </xf>
    <xf borderId="82" fillId="0" fontId="7" numFmtId="0" xfId="0" applyAlignment="1" applyBorder="1" applyFont="1">
      <alignment horizontal="center" readingOrder="0" shrinkToFit="0" vertical="center" wrapText="0"/>
    </xf>
    <xf borderId="80" fillId="8" fontId="7" numFmtId="0" xfId="0" applyAlignment="1" applyBorder="1" applyFont="1">
      <alignment horizontal="center" shrinkToFit="0" vertical="center" wrapText="0"/>
    </xf>
    <xf borderId="0" fillId="0" fontId="7" numFmtId="0" xfId="0" applyAlignment="1" applyFont="1">
      <alignment horizontal="center" shrinkToFit="0" vertical="center" wrapText="0"/>
    </xf>
    <xf borderId="0" fillId="0" fontId="7" numFmtId="0" xfId="0" applyAlignment="1" applyFont="1">
      <alignment horizontal="center" shrinkToFit="0" vertical="center" wrapText="0"/>
    </xf>
    <xf borderId="0" fillId="36" fontId="76" numFmtId="165" xfId="0" applyAlignment="1" applyFill="1" applyFont="1" applyNumberFormat="1">
      <alignment horizontal="left" readingOrder="0" vertical="center"/>
    </xf>
    <xf borderId="0" fillId="36" fontId="15" numFmtId="165" xfId="0" applyAlignment="1" applyFont="1" applyNumberFormat="1">
      <alignment horizontal="left" vertical="center"/>
    </xf>
    <xf borderId="0" fillId="36" fontId="2" numFmtId="0" xfId="0" applyFont="1"/>
    <xf borderId="84" fillId="2" fontId="77" numFmtId="165" xfId="0" applyAlignment="1" applyBorder="1" applyFont="1" applyNumberFormat="1">
      <alignment horizontal="center" readingOrder="0" vertical="center"/>
    </xf>
    <xf borderId="85" fillId="2" fontId="78" numFmtId="0" xfId="0" applyAlignment="1" applyBorder="1" applyFont="1">
      <alignment horizontal="center" readingOrder="0" vertical="center"/>
    </xf>
    <xf borderId="85" fillId="0" fontId="58" numFmtId="0" xfId="0" applyBorder="1" applyFont="1"/>
    <xf borderId="86" fillId="0" fontId="58" numFmtId="0" xfId="0" applyBorder="1" applyFont="1"/>
    <xf borderId="87" fillId="2" fontId="78" numFmtId="165" xfId="0" applyAlignment="1" applyBorder="1" applyFont="1" applyNumberFormat="1">
      <alignment horizontal="center" readingOrder="0" vertical="center"/>
    </xf>
    <xf borderId="88" fillId="2" fontId="79" numFmtId="0" xfId="0" applyAlignment="1" applyBorder="1" applyFont="1">
      <alignment horizontal="center" readingOrder="0" vertical="center"/>
    </xf>
    <xf borderId="89" fillId="2" fontId="3" numFmtId="0" xfId="0" applyAlignment="1" applyBorder="1" applyFont="1">
      <alignment horizontal="center" readingOrder="0" vertical="center"/>
    </xf>
    <xf borderId="90" fillId="2" fontId="3" numFmtId="165" xfId="0" applyAlignment="1" applyBorder="1" applyFont="1" applyNumberFormat="1">
      <alignment horizontal="center" readingOrder="0" vertical="center"/>
    </xf>
    <xf borderId="91" fillId="37" fontId="80" numFmtId="165" xfId="0" applyAlignment="1" applyBorder="1" applyFill="1" applyFont="1" applyNumberFormat="1">
      <alignment horizontal="center" readingOrder="0" vertical="center"/>
    </xf>
    <xf borderId="91" fillId="0" fontId="58" numFmtId="0" xfId="0" applyBorder="1" applyFont="1"/>
    <xf borderId="92" fillId="0" fontId="58" numFmtId="0" xfId="0" applyBorder="1" applyFont="1"/>
    <xf borderId="93" fillId="0" fontId="58" numFmtId="0" xfId="0" applyBorder="1" applyFont="1"/>
    <xf borderId="53" fillId="0" fontId="58" numFmtId="0" xfId="0" applyBorder="1" applyFont="1"/>
    <xf borderId="94" fillId="0" fontId="58" numFmtId="0" xfId="0" applyBorder="1" applyFont="1"/>
    <xf borderId="95" fillId="0" fontId="58" numFmtId="0" xfId="0" applyBorder="1" applyFont="1"/>
    <xf borderId="96" fillId="0" fontId="58" numFmtId="0" xfId="0" applyBorder="1" applyFont="1"/>
    <xf borderId="97" fillId="0" fontId="58" numFmtId="0" xfId="0" applyBorder="1" applyFont="1"/>
    <xf borderId="98" fillId="2" fontId="4" numFmtId="165" xfId="0" applyAlignment="1" applyBorder="1" applyFont="1" applyNumberFormat="1">
      <alignment horizontal="center" readingOrder="0" vertical="center"/>
    </xf>
    <xf borderId="99" fillId="0" fontId="58" numFmtId="0" xfId="0" applyBorder="1" applyFont="1"/>
    <xf borderId="100" fillId="0" fontId="58" numFmtId="0" xfId="0" applyBorder="1" applyFont="1"/>
    <xf borderId="101" fillId="0" fontId="58" numFmtId="0" xfId="0" applyBorder="1" applyFont="1"/>
    <xf borderId="102" fillId="0" fontId="58" numFmtId="0" xfId="0" applyBorder="1" applyFont="1"/>
    <xf borderId="103" fillId="0" fontId="58" numFmtId="0" xfId="0" applyBorder="1" applyFont="1"/>
    <xf borderId="87" fillId="38" fontId="81" numFmtId="0" xfId="0" applyAlignment="1" applyBorder="1" applyFill="1" applyFont="1">
      <alignment horizontal="center" readingOrder="0" vertical="center"/>
    </xf>
    <xf borderId="87" fillId="39" fontId="82" numFmtId="0" xfId="0" applyAlignment="1" applyBorder="1" applyFill="1" applyFont="1">
      <alignment horizontal="center" readingOrder="0" vertical="center"/>
    </xf>
    <xf borderId="104" fillId="38" fontId="53" numFmtId="0" xfId="0" applyAlignment="1" applyBorder="1" applyFont="1">
      <alignment horizontal="center" readingOrder="0" vertical="center"/>
    </xf>
    <xf borderId="87" fillId="39" fontId="46" numFmtId="0" xfId="0" applyAlignment="1" applyBorder="1" applyFont="1">
      <alignment horizontal="center" readingOrder="0" vertical="center"/>
    </xf>
    <xf borderId="105" fillId="38" fontId="71" numFmtId="165" xfId="0" applyAlignment="1" applyBorder="1" applyFont="1" applyNumberFormat="1">
      <alignment horizontal="center" readingOrder="0" vertical="center"/>
    </xf>
    <xf borderId="106" fillId="0" fontId="58" numFmtId="0" xfId="0" applyBorder="1" applyFont="1"/>
    <xf borderId="107" fillId="0" fontId="58" numFmtId="0" xfId="0" applyBorder="1" applyFont="1"/>
    <xf borderId="108" fillId="0" fontId="58" numFmtId="0" xfId="0" applyBorder="1" applyFont="1"/>
    <xf borderId="109" fillId="40" fontId="83" numFmtId="165" xfId="0" applyAlignment="1" applyBorder="1" applyFill="1" applyFont="1" applyNumberFormat="1">
      <alignment horizontal="center" readingOrder="0" vertical="center"/>
    </xf>
    <xf borderId="110" fillId="0" fontId="58" numFmtId="0" xfId="0" applyBorder="1" applyFont="1"/>
    <xf borderId="92" fillId="38" fontId="84" numFmtId="165" xfId="0" applyAlignment="1" applyBorder="1" applyFont="1" applyNumberFormat="1">
      <alignment horizontal="center" readingOrder="0" vertical="center"/>
    </xf>
    <xf borderId="90" fillId="38" fontId="85" numFmtId="165" xfId="0" applyAlignment="1" applyBorder="1" applyFont="1" applyNumberFormat="1">
      <alignment horizontal="center" readingOrder="0" vertical="center"/>
    </xf>
    <xf borderId="111" fillId="0" fontId="58" numFmtId="0" xfId="0" applyBorder="1" applyFont="1"/>
    <xf borderId="112" fillId="0" fontId="58" numFmtId="0" xfId="0" applyBorder="1" applyFont="1"/>
    <xf borderId="113" fillId="0" fontId="58" numFmtId="0" xfId="0" applyBorder="1" applyFont="1"/>
    <xf borderId="114" fillId="0" fontId="58" numFmtId="0" xfId="0" applyBorder="1" applyFont="1"/>
    <xf borderId="115" fillId="0" fontId="58" numFmtId="0" xfId="0" applyBorder="1" applyFont="1"/>
    <xf borderId="116" fillId="38" fontId="46" numFmtId="0" xfId="0" applyAlignment="1" applyBorder="1" applyFont="1">
      <alignment horizontal="center" readingOrder="0" vertical="center"/>
    </xf>
    <xf borderId="0" fillId="36" fontId="60" numFmtId="0" xfId="0" applyFont="1"/>
    <xf borderId="98" fillId="2" fontId="86" numFmtId="165" xfId="0" applyAlignment="1" applyBorder="1" applyFont="1" applyNumberFormat="1">
      <alignment horizontal="center" readingOrder="0" vertical="center"/>
    </xf>
    <xf borderId="100" fillId="2" fontId="87" numFmtId="165" xfId="0" applyAlignment="1" applyBorder="1" applyFont="1" applyNumberFormat="1">
      <alignment horizontal="center" readingOrder="0" vertical="center"/>
    </xf>
    <xf borderId="98" fillId="38" fontId="85" numFmtId="165" xfId="0" applyAlignment="1" applyBorder="1" applyFont="1" applyNumberFormat="1">
      <alignment horizontal="center" vertical="center"/>
    </xf>
    <xf borderId="117" fillId="0" fontId="58" numFmtId="0" xfId="0" applyBorder="1" applyFont="1"/>
    <xf borderId="118" fillId="0" fontId="58" numFmtId="0" xfId="0" applyBorder="1" applyFont="1"/>
    <xf borderId="119" fillId="0" fontId="58" numFmtId="0" xfId="0" applyBorder="1" applyFont="1"/>
    <xf borderId="120" fillId="0" fontId="58" numFmtId="0" xfId="0" applyBorder="1" applyFont="1"/>
    <xf borderId="121" fillId="0" fontId="58" numFmtId="0" xfId="0" applyBorder="1" applyFont="1"/>
    <xf borderId="122" fillId="38" fontId="82" numFmtId="0" xfId="0" applyAlignment="1" applyBorder="1" applyFont="1">
      <alignment horizontal="center" readingOrder="0" vertical="center"/>
    </xf>
    <xf borderId="123" fillId="0" fontId="58" numFmtId="0" xfId="0" applyBorder="1" applyFont="1"/>
    <xf borderId="124" fillId="38" fontId="9" numFmtId="0" xfId="0" applyAlignment="1" applyBorder="1" applyFont="1">
      <alignment horizontal="center" readingOrder="0" vertical="center"/>
    </xf>
    <xf borderId="125" fillId="0" fontId="58" numFmtId="0" xfId="0" applyBorder="1" applyFont="1"/>
    <xf borderId="126" fillId="0" fontId="58" numFmtId="0" xfId="0" applyBorder="1" applyFont="1"/>
    <xf borderId="127" fillId="13" fontId="12" numFmtId="165" xfId="0" applyAlignment="1" applyBorder="1" applyFont="1" applyNumberFormat="1">
      <alignment horizontal="center" readingOrder="0" vertical="center"/>
    </xf>
    <xf borderId="128" fillId="13" fontId="12" numFmtId="165" xfId="0" applyAlignment="1" applyBorder="1" applyFont="1" applyNumberFormat="1">
      <alignment horizontal="center" readingOrder="0" vertical="center"/>
    </xf>
    <xf borderId="103" fillId="38" fontId="12" numFmtId="0" xfId="0" applyAlignment="1" applyBorder="1" applyFont="1">
      <alignment horizontal="center" readingOrder="0" vertical="center"/>
    </xf>
    <xf borderId="129" fillId="0" fontId="58" numFmtId="0" xfId="0" applyBorder="1" applyFont="1"/>
    <xf borderId="0" fillId="36" fontId="9" numFmtId="165" xfId="0" applyAlignment="1" applyFont="1" applyNumberFormat="1">
      <alignment horizontal="center" vertical="center"/>
    </xf>
    <xf borderId="130" fillId="41" fontId="88" numFmtId="165" xfId="0" applyAlignment="1" applyBorder="1" applyFill="1" applyFont="1" applyNumberFormat="1">
      <alignment horizontal="center" readingOrder="0" vertical="center"/>
    </xf>
    <xf borderId="1" fillId="41" fontId="88" numFmtId="165" xfId="0" applyAlignment="1" applyBorder="1" applyFont="1" applyNumberFormat="1">
      <alignment horizontal="center" readingOrder="0" vertical="center"/>
    </xf>
    <xf borderId="131" fillId="41" fontId="88" numFmtId="165" xfId="0" applyAlignment="1" applyBorder="1" applyFont="1" applyNumberFormat="1">
      <alignment horizontal="center" readingOrder="0" vertical="center"/>
    </xf>
    <xf borderId="14" fillId="16" fontId="7" numFmtId="165" xfId="0" applyAlignment="1" applyBorder="1" applyFont="1" applyNumberFormat="1">
      <alignment horizontal="left" readingOrder="0" vertical="center"/>
    </xf>
    <xf borderId="9" fillId="16" fontId="64" numFmtId="4" xfId="0" applyAlignment="1" applyBorder="1" applyFont="1" applyNumberFormat="1">
      <alignment horizontal="center" readingOrder="0" vertical="center"/>
    </xf>
    <xf borderId="132" fillId="16" fontId="7" numFmtId="165" xfId="0" applyAlignment="1" applyBorder="1" applyFont="1" applyNumberFormat="1">
      <alignment horizontal="left" readingOrder="0" vertical="center"/>
    </xf>
    <xf borderId="13" fillId="16" fontId="64" numFmtId="4" xfId="0" applyAlignment="1" applyBorder="1" applyFont="1" applyNumberFormat="1">
      <alignment horizontal="center" readingOrder="0" vertical="center"/>
    </xf>
    <xf borderId="122" fillId="38" fontId="89" numFmtId="0" xfId="0" applyAlignment="1" applyBorder="1" applyFont="1">
      <alignment horizontal="center" readingOrder="0" vertical="center"/>
    </xf>
    <xf borderId="115" fillId="38" fontId="53" numFmtId="0" xfId="0" applyAlignment="1" applyBorder="1" applyFont="1">
      <alignment horizontal="center" readingOrder="0" vertical="center"/>
    </xf>
    <xf borderId="133" fillId="21" fontId="9" numFmtId="165" xfId="0" applyAlignment="1" applyBorder="1" applyFont="1" applyNumberFormat="1">
      <alignment horizontal="center" readingOrder="0" vertical="center"/>
    </xf>
    <xf borderId="9" fillId="0" fontId="58" numFmtId="0" xfId="0" applyBorder="1" applyFont="1"/>
    <xf borderId="0" fillId="21" fontId="9" numFmtId="10" xfId="0" applyAlignment="1" applyFont="1" applyNumberFormat="1">
      <alignment horizontal="center" vertical="center"/>
    </xf>
    <xf borderId="134" fillId="21" fontId="9" numFmtId="165" xfId="0" applyAlignment="1" applyBorder="1" applyFont="1" applyNumberFormat="1">
      <alignment horizontal="center"/>
    </xf>
    <xf borderId="14" fillId="8" fontId="7" numFmtId="165" xfId="0" applyAlignment="1" applyBorder="1" applyFont="1" applyNumberFormat="1">
      <alignment horizontal="left" readingOrder="0" vertical="center"/>
    </xf>
    <xf borderId="9" fillId="8" fontId="64" numFmtId="4" xfId="0" applyAlignment="1" applyBorder="1" applyFont="1" applyNumberFormat="1">
      <alignment horizontal="center" readingOrder="0" vertical="center"/>
    </xf>
    <xf borderId="132" fillId="8" fontId="7" numFmtId="165" xfId="0" applyAlignment="1" applyBorder="1" applyFont="1" applyNumberFormat="1">
      <alignment horizontal="left" readingOrder="0" vertical="center"/>
    </xf>
    <xf borderId="13" fillId="8" fontId="64" numFmtId="4" xfId="0" applyAlignment="1" applyBorder="1" applyFont="1" applyNumberFormat="1">
      <alignment horizontal="center" readingOrder="0" vertical="center"/>
    </xf>
    <xf borderId="133" fillId="8" fontId="9" numFmtId="165" xfId="0" applyAlignment="1" applyBorder="1" applyFont="1" applyNumberFormat="1">
      <alignment horizontal="center" readingOrder="0" vertical="center"/>
    </xf>
    <xf borderId="0" fillId="8" fontId="9" numFmtId="10" xfId="0" applyAlignment="1" applyFont="1" applyNumberFormat="1">
      <alignment horizontal="center" vertical="center"/>
    </xf>
    <xf borderId="134" fillId="8" fontId="9" numFmtId="165" xfId="0" applyAlignment="1" applyBorder="1" applyFont="1" applyNumberFormat="1">
      <alignment horizontal="center"/>
    </xf>
    <xf borderId="0" fillId="36" fontId="15" numFmtId="0" xfId="0" applyAlignment="1" applyFont="1">
      <alignment horizontal="left" vertical="center"/>
    </xf>
    <xf borderId="135" fillId="8" fontId="7" numFmtId="165" xfId="0" applyAlignment="1" applyBorder="1" applyFont="1" applyNumberFormat="1">
      <alignment horizontal="left" readingOrder="0" vertical="center"/>
    </xf>
    <xf borderId="136" fillId="8" fontId="64" numFmtId="4" xfId="0" applyAlignment="1" applyBorder="1" applyFont="1" applyNumberFormat="1">
      <alignment horizontal="center" readingOrder="0" vertical="center"/>
    </xf>
    <xf borderId="137" fillId="13" fontId="7" numFmtId="0" xfId="0" applyAlignment="1" applyBorder="1" applyFont="1">
      <alignment horizontal="center" readingOrder="0"/>
    </xf>
    <xf borderId="138" fillId="0" fontId="58" numFmtId="0" xfId="0" applyBorder="1" applyFont="1"/>
    <xf borderId="0" fillId="16" fontId="64" numFmtId="4" xfId="0" applyAlignment="1" applyFont="1" applyNumberFormat="1">
      <alignment horizontal="center" readingOrder="0" vertical="center"/>
    </xf>
    <xf borderId="139" fillId="8" fontId="84" numFmtId="165" xfId="0" applyAlignment="1" applyBorder="1" applyFont="1" applyNumberFormat="1">
      <alignment horizontal="center" readingOrder="0" vertical="center"/>
    </xf>
    <xf borderId="140" fillId="40" fontId="83" numFmtId="165" xfId="0" applyAlignment="1" applyBorder="1" applyFont="1" applyNumberFormat="1">
      <alignment horizontal="center" readingOrder="0" vertical="center"/>
    </xf>
    <xf borderId="141" fillId="2" fontId="90" numFmtId="165" xfId="0" applyAlignment="1" applyBorder="1" applyFont="1" applyNumberFormat="1">
      <alignment horizontal="center" readingOrder="0" vertical="center"/>
    </xf>
    <xf borderId="142" fillId="0" fontId="58" numFmtId="0" xfId="0" applyBorder="1" applyFont="1"/>
    <xf borderId="143" fillId="0" fontId="58" numFmtId="0" xfId="0" applyBorder="1" applyFont="1"/>
    <xf borderId="0" fillId="8" fontId="64" numFmtId="4" xfId="0" applyAlignment="1" applyFont="1" applyNumberFormat="1">
      <alignment horizontal="center" readingOrder="0" vertical="center"/>
    </xf>
    <xf borderId="132" fillId="0" fontId="58" numFmtId="0" xfId="0" applyBorder="1" applyFont="1"/>
    <xf borderId="13" fillId="0" fontId="58" numFmtId="0" xfId="0" applyBorder="1" applyFont="1"/>
    <xf borderId="144" fillId="6" fontId="9" numFmtId="165" xfId="0" applyAlignment="1" applyBorder="1" applyFont="1" applyNumberFormat="1">
      <alignment horizontal="center" readingOrder="0" vertical="center"/>
    </xf>
    <xf borderId="145" fillId="6" fontId="7" numFmtId="165" xfId="0" applyAlignment="1" applyBorder="1" applyFont="1" applyNumberFormat="1">
      <alignment horizontal="center" readingOrder="0" vertical="center"/>
    </xf>
    <xf borderId="0" fillId="36" fontId="7" numFmtId="165" xfId="0" applyAlignment="1" applyFont="1" applyNumberFormat="1">
      <alignment horizontal="center" vertical="center"/>
    </xf>
    <xf borderId="132" fillId="8" fontId="84" numFmtId="165" xfId="0" applyAlignment="1" applyBorder="1" applyFont="1" applyNumberFormat="1">
      <alignment horizontal="center" readingOrder="0" vertical="center"/>
    </xf>
    <xf borderId="146" fillId="8" fontId="9" numFmtId="165" xfId="0" applyAlignment="1" applyBorder="1" applyFont="1" applyNumberFormat="1">
      <alignment horizontal="center" readingOrder="0" vertical="center"/>
    </xf>
    <xf borderId="9" fillId="8" fontId="7" numFmtId="165" xfId="0" applyAlignment="1" applyBorder="1" applyFont="1" applyNumberFormat="1">
      <alignment horizontal="center" readingOrder="0" vertical="center"/>
    </xf>
    <xf borderId="13" fillId="40" fontId="83" numFmtId="165" xfId="0" applyAlignment="1" applyBorder="1" applyFont="1" applyNumberFormat="1">
      <alignment horizontal="center" readingOrder="0" vertical="center"/>
    </xf>
    <xf borderId="146" fillId="6" fontId="9" numFmtId="165" xfId="0" applyAlignment="1" applyBorder="1" applyFont="1" applyNumberFormat="1">
      <alignment horizontal="center" readingOrder="0" vertical="center"/>
    </xf>
    <xf borderId="9" fillId="6" fontId="7" numFmtId="165" xfId="0" applyAlignment="1" applyBorder="1" applyFont="1" applyNumberFormat="1">
      <alignment horizontal="center" readingOrder="0" vertical="center"/>
    </xf>
    <xf borderId="0" fillId="36" fontId="15" numFmtId="165" xfId="0" applyAlignment="1" applyFont="1" applyNumberFormat="1">
      <alignment horizontal="center" vertical="center"/>
    </xf>
    <xf borderId="147" fillId="0" fontId="58" numFmtId="0" xfId="0" applyBorder="1" applyFont="1"/>
    <xf borderId="107" fillId="8" fontId="9" numFmtId="10" xfId="0" applyAlignment="1" applyBorder="1" applyFont="1" applyNumberFormat="1">
      <alignment horizontal="center" vertical="center"/>
    </xf>
    <xf borderId="148" fillId="8" fontId="9" numFmtId="165" xfId="0" applyAlignment="1" applyBorder="1" applyFont="1" applyNumberFormat="1">
      <alignment horizontal="center"/>
    </xf>
    <xf borderId="149" fillId="8" fontId="15" numFmtId="165" xfId="0" applyAlignment="1" applyBorder="1" applyFont="1" applyNumberFormat="1">
      <alignment horizontal="center" readingOrder="0" vertical="center"/>
    </xf>
    <xf borderId="150" fillId="2" fontId="4" numFmtId="165" xfId="0" applyAlignment="1" applyBorder="1" applyFont="1" applyNumberFormat="1">
      <alignment horizontal="center" readingOrder="0" vertical="center"/>
    </xf>
    <xf borderId="151" fillId="0" fontId="58" numFmtId="0" xfId="0" applyBorder="1" applyFont="1"/>
    <xf borderId="152" fillId="0" fontId="58" numFmtId="0" xfId="0" applyBorder="1" applyFont="1"/>
    <xf borderId="57" fillId="42" fontId="7" numFmtId="165" xfId="0" applyAlignment="1" applyBorder="1" applyFill="1" applyFont="1" applyNumberFormat="1">
      <alignment horizontal="center" readingOrder="0" vertical="center"/>
    </xf>
    <xf borderId="153" fillId="0" fontId="58" numFmtId="0" xfId="0" applyBorder="1" applyFont="1"/>
    <xf borderId="118" fillId="8" fontId="7" numFmtId="165" xfId="0" applyAlignment="1" applyBorder="1" applyFont="1" applyNumberFormat="1">
      <alignment horizontal="left" readingOrder="0" vertical="center"/>
    </xf>
    <xf borderId="1" fillId="8" fontId="64" numFmtId="4" xfId="0" applyAlignment="1" applyBorder="1" applyFont="1" applyNumberFormat="1">
      <alignment horizontal="center" readingOrder="0" vertical="center"/>
    </xf>
    <xf borderId="154" fillId="0" fontId="58" numFmtId="0" xfId="0" applyBorder="1" applyFont="1"/>
    <xf borderId="155" fillId="6" fontId="9" numFmtId="165" xfId="0" applyAlignment="1" applyBorder="1" applyFont="1" applyNumberFormat="1">
      <alignment horizontal="center" readingOrder="0" vertical="center"/>
    </xf>
    <xf borderId="119" fillId="6" fontId="7" numFmtId="165" xfId="0" applyAlignment="1" applyBorder="1" applyFont="1" applyNumberFormat="1">
      <alignment horizontal="center" readingOrder="0" vertical="center"/>
    </xf>
    <xf borderId="112" fillId="8" fontId="9" numFmtId="165" xfId="0" applyAlignment="1" applyBorder="1" applyFont="1" applyNumberFormat="1">
      <alignment horizontal="center" readingOrder="0" vertical="center"/>
    </xf>
    <xf borderId="156" fillId="0" fontId="58" numFmtId="0" xfId="0" applyBorder="1" applyFont="1"/>
    <xf borderId="41" fillId="0" fontId="58" numFmtId="0" xfId="0" applyBorder="1" applyFont="1"/>
    <xf borderId="157" fillId="0" fontId="58" numFmtId="0" xfId="0" applyBorder="1" applyFont="1"/>
    <xf borderId="158" fillId="27" fontId="7" numFmtId="165" xfId="0" applyAlignment="1" applyBorder="1" applyFont="1" applyNumberFormat="1">
      <alignment horizontal="center" readingOrder="0" vertical="center"/>
    </xf>
    <xf borderId="159" fillId="27" fontId="7" numFmtId="165" xfId="0" applyAlignment="1" applyBorder="1" applyFont="1" applyNumberFormat="1">
      <alignment horizontal="center" vertical="center"/>
    </xf>
    <xf borderId="9" fillId="16" fontId="64" numFmtId="0" xfId="0" applyAlignment="1" applyBorder="1" applyFont="1">
      <alignment horizontal="center" readingOrder="0" vertical="center"/>
    </xf>
    <xf borderId="136" fillId="16" fontId="7" numFmtId="165" xfId="0" applyAlignment="1" applyBorder="1" applyFont="1" applyNumberFormat="1">
      <alignment horizontal="left" readingOrder="0" vertical="center"/>
    </xf>
    <xf borderId="140" fillId="16" fontId="64" numFmtId="49" xfId="0" applyAlignment="1" applyBorder="1" applyFont="1" applyNumberFormat="1">
      <alignment horizontal="center" readingOrder="0" vertical="center"/>
    </xf>
    <xf borderId="146" fillId="38" fontId="9" numFmtId="165" xfId="0" applyAlignment="1" applyBorder="1" applyFont="1" applyNumberFormat="1">
      <alignment horizontal="center" readingOrder="0" vertical="center"/>
    </xf>
    <xf borderId="0" fillId="8" fontId="53" numFmtId="165" xfId="0" applyAlignment="1" applyFont="1" applyNumberFormat="1">
      <alignment horizontal="center" readingOrder="0" vertical="center"/>
    </xf>
    <xf borderId="160" fillId="38" fontId="14" numFmtId="49" xfId="0" applyAlignment="1" applyBorder="1" applyFont="1" applyNumberFormat="1">
      <alignment horizontal="center" readingOrder="0" vertical="center"/>
    </xf>
    <xf borderId="161" fillId="8" fontId="7" numFmtId="165" xfId="0" applyAlignment="1" applyBorder="1" applyFont="1" applyNumberFormat="1">
      <alignment horizontal="center" readingOrder="0" vertical="center"/>
    </xf>
    <xf borderId="162" fillId="8" fontId="7" numFmtId="165" xfId="0" applyAlignment="1" applyBorder="1" applyFont="1" applyNumberFormat="1">
      <alignment horizontal="center" readingOrder="0" vertical="center"/>
    </xf>
    <xf borderId="163" fillId="8" fontId="7" numFmtId="165" xfId="0" applyAlignment="1" applyBorder="1" applyFont="1" applyNumberFormat="1">
      <alignment horizontal="center" readingOrder="0" vertical="center"/>
    </xf>
    <xf borderId="119" fillId="8" fontId="7" numFmtId="165" xfId="0" applyAlignment="1" applyBorder="1" applyFont="1" applyNumberFormat="1">
      <alignment horizontal="center" readingOrder="0" vertical="center"/>
    </xf>
    <xf borderId="164" fillId="8" fontId="7" numFmtId="165" xfId="0" applyAlignment="1" applyBorder="1" applyFont="1" applyNumberFormat="1">
      <alignment horizontal="center" readingOrder="0" vertical="center"/>
    </xf>
    <xf borderId="165" fillId="8" fontId="7" numFmtId="165" xfId="0" applyAlignment="1" applyBorder="1" applyFont="1" applyNumberFormat="1">
      <alignment horizontal="center" vertical="center"/>
    </xf>
    <xf borderId="14" fillId="0" fontId="7" numFmtId="0" xfId="0" applyAlignment="1" applyBorder="1" applyFont="1">
      <alignment readingOrder="0"/>
    </xf>
    <xf borderId="132" fillId="8" fontId="7" numFmtId="0" xfId="0" applyAlignment="1" applyBorder="1" applyFont="1">
      <alignment readingOrder="0"/>
    </xf>
    <xf borderId="13" fillId="8" fontId="7" numFmtId="0" xfId="0" applyAlignment="1" applyBorder="1" applyFont="1">
      <alignment horizontal="center" readingOrder="0" vertical="center"/>
    </xf>
    <xf borderId="166" fillId="0" fontId="58" numFmtId="0" xfId="0" applyBorder="1" applyFont="1"/>
    <xf borderId="167" fillId="0" fontId="58" numFmtId="0" xfId="0" applyBorder="1" applyFont="1"/>
    <xf borderId="168" fillId="23" fontId="7" numFmtId="165" xfId="0" applyAlignment="1" applyBorder="1" applyFont="1" applyNumberFormat="1">
      <alignment horizontal="center" readingOrder="0" vertical="center"/>
    </xf>
    <xf borderId="0" fillId="23" fontId="7" numFmtId="165" xfId="0" applyAlignment="1" applyFont="1" applyNumberFormat="1">
      <alignment horizontal="center" vertical="center"/>
    </xf>
    <xf borderId="169" fillId="23" fontId="7" numFmtId="165" xfId="0" applyAlignment="1" applyBorder="1" applyFont="1" applyNumberFormat="1">
      <alignment horizontal="center" readingOrder="0" vertical="center"/>
    </xf>
    <xf borderId="136" fillId="23" fontId="7" numFmtId="165" xfId="0" applyAlignment="1" applyBorder="1" applyFont="1" applyNumberFormat="1">
      <alignment horizontal="center" readingOrder="0" vertical="center"/>
    </xf>
    <xf borderId="169" fillId="23" fontId="7" numFmtId="0" xfId="0" applyAlignment="1" applyBorder="1" applyFont="1">
      <alignment horizontal="center" readingOrder="0" vertical="center"/>
    </xf>
    <xf borderId="170" fillId="23" fontId="7" numFmtId="165" xfId="0" applyAlignment="1" applyBorder="1" applyFont="1" applyNumberFormat="1">
      <alignment horizontal="center" vertical="center"/>
    </xf>
    <xf borderId="171" fillId="17" fontId="7" numFmtId="165" xfId="0" applyAlignment="1" applyBorder="1" applyFont="1" applyNumberFormat="1">
      <alignment horizontal="center" readingOrder="0" vertical="center"/>
    </xf>
    <xf borderId="153" fillId="17" fontId="7" numFmtId="165" xfId="0" applyAlignment="1" applyBorder="1" applyFont="1" applyNumberFormat="1">
      <alignment horizontal="center" vertical="center"/>
    </xf>
    <xf borderId="135" fillId="16" fontId="7" numFmtId="165" xfId="0" applyAlignment="1" applyBorder="1" applyFont="1" applyNumberFormat="1">
      <alignment horizontal="left" readingOrder="0" vertical="center"/>
    </xf>
    <xf borderId="172" fillId="16" fontId="64" numFmtId="4" xfId="0" applyAlignment="1" applyBorder="1" applyFont="1" applyNumberFormat="1">
      <alignment horizontal="center" readingOrder="0" vertical="center"/>
    </xf>
    <xf borderId="0" fillId="16" fontId="7" numFmtId="0" xfId="0" applyAlignment="1" applyFont="1">
      <alignment readingOrder="0"/>
    </xf>
    <xf borderId="13" fillId="16" fontId="7" numFmtId="0" xfId="0" applyAlignment="1" applyBorder="1" applyFont="1">
      <alignment horizontal="center" readingOrder="0" vertical="center"/>
    </xf>
    <xf borderId="173" fillId="23" fontId="7" numFmtId="165" xfId="0" applyAlignment="1" applyBorder="1" applyFont="1" applyNumberFormat="1">
      <alignment horizontal="center" readingOrder="0" vertical="center"/>
    </xf>
    <xf borderId="0" fillId="8" fontId="7" numFmtId="165" xfId="0" applyAlignment="1" applyFont="1" applyNumberFormat="1">
      <alignment horizontal="center" vertical="center"/>
    </xf>
    <xf borderId="174" fillId="8" fontId="7" numFmtId="165" xfId="0" applyAlignment="1" applyBorder="1" applyFont="1" applyNumberFormat="1">
      <alignment horizontal="center" readingOrder="0" vertical="center"/>
    </xf>
    <xf borderId="0" fillId="8" fontId="7" numFmtId="165" xfId="0" applyAlignment="1" applyFont="1" applyNumberFormat="1">
      <alignment horizontal="center" readingOrder="0" vertical="center"/>
    </xf>
    <xf borderId="174" fillId="8" fontId="64" numFmtId="0" xfId="0" applyAlignment="1" applyBorder="1" applyFont="1">
      <alignment horizontal="center" readingOrder="0" vertical="center"/>
    </xf>
    <xf borderId="175" fillId="8" fontId="7" numFmtId="165" xfId="0" applyAlignment="1" applyBorder="1" applyFont="1" applyNumberFormat="1">
      <alignment horizontal="center" vertical="center"/>
    </xf>
    <xf borderId="119" fillId="8" fontId="64" numFmtId="4" xfId="0" applyAlignment="1" applyBorder="1" applyFont="1" applyNumberFormat="1">
      <alignment horizontal="center" readingOrder="0" vertical="center"/>
    </xf>
    <xf borderId="0" fillId="8" fontId="7" numFmtId="0" xfId="0" applyAlignment="1" applyFont="1">
      <alignment readingOrder="0"/>
    </xf>
    <xf borderId="176" fillId="2" fontId="4" numFmtId="165" xfId="0" applyAlignment="1" applyBorder="1" applyFont="1" applyNumberFormat="1">
      <alignment horizontal="center" readingOrder="0" vertical="center"/>
    </xf>
    <xf borderId="177" fillId="0" fontId="58" numFmtId="0" xfId="0" applyBorder="1" applyFont="1"/>
    <xf borderId="178" fillId="0" fontId="58" numFmtId="0" xfId="0" applyBorder="1" applyFont="1"/>
    <xf borderId="174" fillId="23" fontId="7" numFmtId="165" xfId="0" applyAlignment="1" applyBorder="1" applyFont="1" applyNumberFormat="1">
      <alignment horizontal="center" readingOrder="0" vertical="center"/>
    </xf>
    <xf borderId="0" fillId="23" fontId="7" numFmtId="165" xfId="0" applyAlignment="1" applyFont="1" applyNumberFormat="1">
      <alignment horizontal="center" readingOrder="0" vertical="center"/>
    </xf>
    <xf borderId="174" fillId="23" fontId="7" numFmtId="0" xfId="0" applyAlignment="1" applyBorder="1" applyFont="1">
      <alignment horizontal="center" readingOrder="0" vertical="center"/>
    </xf>
    <xf borderId="175" fillId="23" fontId="7" numFmtId="165" xfId="0" applyAlignment="1" applyBorder="1" applyFont="1" applyNumberFormat="1">
      <alignment horizontal="center" vertical="center"/>
    </xf>
    <xf borderId="109" fillId="16" fontId="64" numFmtId="0" xfId="0" applyAlignment="1" applyBorder="1" applyFont="1">
      <alignment readingOrder="0" vertical="center"/>
    </xf>
    <xf borderId="110" fillId="16" fontId="64" numFmtId="0" xfId="0" applyAlignment="1" applyBorder="1" applyFont="1">
      <alignment horizontal="center" readingOrder="0" vertical="center"/>
    </xf>
    <xf borderId="0" fillId="16" fontId="64" numFmtId="0" xfId="0" applyAlignment="1" applyFont="1">
      <alignment readingOrder="0" vertical="center"/>
    </xf>
    <xf borderId="0" fillId="16" fontId="64" numFmtId="0" xfId="0" applyAlignment="1" applyFont="1">
      <alignment horizontal="center" readingOrder="0" vertical="center"/>
    </xf>
    <xf borderId="132" fillId="16" fontId="7" numFmtId="0" xfId="0" applyAlignment="1" applyBorder="1" applyFont="1">
      <alignment readingOrder="0"/>
    </xf>
    <xf borderId="179" fillId="0" fontId="58" numFmtId="0" xfId="0" applyBorder="1" applyFont="1"/>
    <xf borderId="180" fillId="0" fontId="58" numFmtId="0" xfId="0" applyBorder="1" applyFont="1"/>
    <xf borderId="181" fillId="0" fontId="58" numFmtId="0" xfId="0" applyBorder="1" applyFont="1"/>
    <xf borderId="14" fillId="8" fontId="64" numFmtId="0" xfId="0" applyAlignment="1" applyBorder="1" applyFont="1">
      <alignment readingOrder="0" vertical="center"/>
    </xf>
    <xf borderId="9" fillId="8" fontId="64" numFmtId="0" xfId="0" applyAlignment="1" applyBorder="1" applyFont="1">
      <alignment horizontal="center" vertical="center"/>
    </xf>
    <xf borderId="0" fillId="8" fontId="64" numFmtId="0" xfId="0" applyAlignment="1" applyFont="1">
      <alignment readingOrder="0" vertical="center"/>
    </xf>
    <xf borderId="154" fillId="8" fontId="7" numFmtId="165" xfId="0" applyAlignment="1" applyBorder="1" applyFont="1" applyNumberFormat="1">
      <alignment horizontal="left" readingOrder="0" vertical="center"/>
    </xf>
    <xf borderId="103" fillId="8" fontId="64" numFmtId="4" xfId="0" applyAlignment="1" applyBorder="1" applyFont="1" applyNumberFormat="1">
      <alignment horizontal="center" readingOrder="0" vertical="center"/>
    </xf>
    <xf borderId="182" fillId="2" fontId="84" numFmtId="165" xfId="0" applyAlignment="1" applyBorder="1" applyFont="1" applyNumberFormat="1">
      <alignment horizontal="center" readingOrder="0" vertical="center"/>
    </xf>
    <xf borderId="0" fillId="38" fontId="89" numFmtId="165" xfId="0" applyAlignment="1" applyFont="1" applyNumberFormat="1">
      <alignment horizontal="center" readingOrder="0" vertical="center"/>
    </xf>
    <xf borderId="183" fillId="0" fontId="58" numFmtId="0" xfId="0" applyBorder="1" applyFont="1"/>
    <xf borderId="14" fillId="16" fontId="64" numFmtId="0" xfId="0" applyAlignment="1" applyBorder="1" applyFont="1">
      <alignment readingOrder="0" vertical="center"/>
    </xf>
    <xf borderId="9" fillId="16" fontId="64" numFmtId="0" xfId="0" applyAlignment="1" applyBorder="1" applyFont="1">
      <alignment horizontal="center" vertical="center"/>
    </xf>
    <xf borderId="13" fillId="16" fontId="64" numFmtId="0" xfId="0" applyAlignment="1" applyBorder="1" applyFont="1">
      <alignment horizontal="center" readingOrder="0" vertical="center"/>
    </xf>
    <xf borderId="184" fillId="0" fontId="58" numFmtId="0" xfId="0" applyBorder="1" applyFont="1"/>
    <xf borderId="1" fillId="0" fontId="58" numFmtId="0" xfId="0" applyBorder="1" applyFont="1"/>
    <xf borderId="185" fillId="0" fontId="58" numFmtId="0" xfId="0" applyBorder="1" applyFont="1"/>
    <xf borderId="13" fillId="8" fontId="64" numFmtId="0" xfId="0" applyAlignment="1" applyBorder="1" applyFont="1">
      <alignment horizontal="center" vertical="center"/>
    </xf>
    <xf borderId="186" fillId="8" fontId="71" numFmtId="165" xfId="0" applyAlignment="1" applyBorder="1" applyFont="1" applyNumberFormat="1">
      <alignment horizontal="center" readingOrder="0" vertical="center"/>
    </xf>
    <xf borderId="1" fillId="8" fontId="7" numFmtId="165" xfId="0" applyAlignment="1" applyBorder="1" applyFont="1" applyNumberFormat="1">
      <alignment horizontal="center" readingOrder="0" vertical="center"/>
    </xf>
    <xf borderId="187" fillId="0" fontId="58" numFmtId="0" xfId="0" applyBorder="1" applyFont="1"/>
    <xf borderId="127" fillId="16" fontId="64" numFmtId="0" xfId="0" applyAlignment="1" applyBorder="1" applyFont="1">
      <alignment readingOrder="0" vertical="center"/>
    </xf>
    <xf borderId="128" fillId="16" fontId="64" numFmtId="0" xfId="0" applyAlignment="1" applyBorder="1" applyFont="1">
      <alignment horizontal="center" vertical="center"/>
    </xf>
    <xf borderId="102" fillId="16" fontId="64" numFmtId="0" xfId="0" applyAlignment="1" applyBorder="1" applyFont="1">
      <alignment readingOrder="0" vertical="center"/>
    </xf>
    <xf borderId="103" fillId="16" fontId="64" numFmtId="0" xfId="0" applyAlignment="1" applyBorder="1" applyFont="1">
      <alignment horizontal="center" readingOrder="0" vertical="center"/>
    </xf>
    <xf borderId="188" fillId="21" fontId="71" numFmtId="165" xfId="0" applyAlignment="1" applyBorder="1" applyFont="1" applyNumberFormat="1">
      <alignment horizontal="center" readingOrder="0" vertical="center"/>
    </xf>
    <xf borderId="189" fillId="21" fontId="7" numFmtId="165" xfId="0" applyAlignment="1" applyBorder="1" applyFont="1" applyNumberFormat="1">
      <alignment horizontal="center" readingOrder="0" vertical="center"/>
    </xf>
    <xf borderId="1" fillId="21" fontId="71" numFmtId="165" xfId="0" applyAlignment="1" applyBorder="1" applyFont="1" applyNumberFormat="1">
      <alignment horizontal="center" readingOrder="0" vertical="center"/>
    </xf>
    <xf borderId="187" fillId="21" fontId="7" numFmtId="165" xfId="0" applyAlignment="1" applyBorder="1" applyFont="1" applyNumberFormat="1">
      <alignment horizontal="center" readingOrder="0" vertical="center"/>
    </xf>
    <xf borderId="188" fillId="8" fontId="12" numFmtId="165" xfId="0" applyAlignment="1" applyBorder="1" applyFont="1" applyNumberFormat="1">
      <alignment horizontal="left" readingOrder="0" vertical="center"/>
    </xf>
    <xf borderId="190" fillId="0" fontId="58" numFmtId="0" xfId="0" applyBorder="1" applyFont="1"/>
    <xf borderId="191" fillId="0" fontId="58" numFmtId="0" xfId="0" applyBorder="1" applyFont="1"/>
    <xf borderId="192" fillId="2" fontId="91" numFmtId="165" xfId="0" applyAlignment="1" applyBorder="1" applyFont="1" applyNumberFormat="1">
      <alignment horizontal="center" readingOrder="0" vertical="center"/>
    </xf>
    <xf borderId="193" fillId="0" fontId="58" numFmtId="0" xfId="0" applyBorder="1" applyFont="1"/>
    <xf borderId="66" fillId="0" fontId="58" numFmtId="0" xfId="0" applyBorder="1" applyFont="1"/>
    <xf borderId="193" fillId="43" fontId="92" numFmtId="165" xfId="0" applyAlignment="1" applyBorder="1" applyFill="1" applyFont="1" applyNumberFormat="1">
      <alignment horizontal="center" readingOrder="0" vertical="center"/>
    </xf>
    <xf borderId="194" fillId="21" fontId="7" numFmtId="165" xfId="0" applyAlignment="1" applyBorder="1" applyFont="1" applyNumberFormat="1">
      <alignment horizontal="left" readingOrder="0" vertical="center"/>
    </xf>
    <xf borderId="172" fillId="21" fontId="7" numFmtId="4" xfId="0" applyAlignment="1" applyBorder="1" applyFont="1" applyNumberFormat="1">
      <alignment horizontal="center" readingOrder="0" vertical="center"/>
    </xf>
    <xf borderId="136" fillId="21" fontId="7" numFmtId="165" xfId="0" applyAlignment="1" applyBorder="1" applyFont="1" applyNumberFormat="1">
      <alignment horizontal="left" readingOrder="0" vertical="center"/>
    </xf>
    <xf borderId="195" fillId="21" fontId="7" numFmtId="4" xfId="0" applyAlignment="1" applyBorder="1" applyFont="1" applyNumberFormat="1">
      <alignment horizontal="center" readingOrder="0" vertical="center"/>
    </xf>
    <xf borderId="196" fillId="0" fontId="58" numFmtId="0" xfId="0" applyBorder="1" applyFont="1"/>
    <xf borderId="65" fillId="0" fontId="58" numFmtId="0" xfId="0" applyBorder="1" applyFont="1"/>
    <xf borderId="197" fillId="8" fontId="7" numFmtId="165" xfId="0" applyAlignment="1" applyBorder="1" applyFont="1" applyNumberFormat="1">
      <alignment horizontal="left" readingOrder="0" vertical="center"/>
    </xf>
    <xf borderId="9" fillId="8" fontId="7" numFmtId="4" xfId="0" applyAlignment="1" applyBorder="1" applyFont="1" applyNumberFormat="1">
      <alignment horizontal="center" readingOrder="0" vertical="center"/>
    </xf>
    <xf borderId="198" fillId="8" fontId="7" numFmtId="4" xfId="0" applyAlignment="1" applyBorder="1" applyFont="1" applyNumberFormat="1">
      <alignment horizontal="center" readingOrder="0" vertical="center"/>
    </xf>
    <xf borderId="199" fillId="8" fontId="7" numFmtId="165" xfId="0" applyAlignment="1" applyBorder="1" applyFont="1" applyNumberFormat="1">
      <alignment horizontal="left" readingOrder="0" vertical="center"/>
    </xf>
    <xf borderId="74" fillId="8" fontId="7" numFmtId="165" xfId="0" applyAlignment="1" applyBorder="1" applyFont="1" applyNumberFormat="1">
      <alignment horizontal="left" readingOrder="0" vertical="center"/>
    </xf>
    <xf borderId="59" fillId="8" fontId="64" numFmtId="4" xfId="0" applyAlignment="1" applyBorder="1" applyFont="1" applyNumberFormat="1">
      <alignment horizontal="center" readingOrder="0" vertical="center"/>
    </xf>
    <xf borderId="197" fillId="21" fontId="7" numFmtId="165" xfId="0" applyAlignment="1" applyBorder="1" applyFont="1" applyNumberFormat="1">
      <alignment horizontal="left" readingOrder="0" vertical="center"/>
    </xf>
    <xf borderId="9" fillId="21" fontId="7" numFmtId="4" xfId="0" applyAlignment="1" applyBorder="1" applyFont="1" applyNumberFormat="1">
      <alignment horizontal="center" readingOrder="0" vertical="center"/>
    </xf>
    <xf borderId="132" fillId="21" fontId="7" numFmtId="165" xfId="0" applyAlignment="1" applyBorder="1" applyFont="1" applyNumberFormat="1">
      <alignment horizontal="left" readingOrder="0" vertical="center"/>
    </xf>
    <xf borderId="198" fillId="21" fontId="7" numFmtId="4" xfId="0" applyAlignment="1" applyBorder="1" applyFont="1" applyNumberFormat="1">
      <alignment horizontal="center" readingOrder="0" vertical="center"/>
    </xf>
    <xf borderId="199" fillId="4" fontId="7" numFmtId="165" xfId="0" applyAlignment="1" applyBorder="1" applyFont="1" applyNumberFormat="1">
      <alignment horizontal="left" readingOrder="0" vertical="center"/>
    </xf>
    <xf borderId="200" fillId="4" fontId="64" numFmtId="4" xfId="0" applyAlignment="1" applyBorder="1" applyFont="1" applyNumberFormat="1">
      <alignment horizontal="center" readingOrder="0" vertical="center"/>
    </xf>
    <xf borderId="74" fillId="44" fontId="7" numFmtId="165" xfId="0" applyAlignment="1" applyBorder="1" applyFill="1" applyFont="1" applyNumberFormat="1">
      <alignment horizontal="left" readingOrder="0" vertical="center"/>
    </xf>
    <xf borderId="9" fillId="44" fontId="64" numFmtId="4" xfId="0" applyAlignment="1" applyBorder="1" applyFont="1" applyNumberFormat="1">
      <alignment horizontal="center" readingOrder="0" vertical="center"/>
    </xf>
    <xf borderId="132" fillId="44" fontId="7" numFmtId="165" xfId="0" applyAlignment="1" applyBorder="1" applyFont="1" applyNumberFormat="1">
      <alignment horizontal="left" readingOrder="0" vertical="center"/>
    </xf>
    <xf borderId="59" fillId="44" fontId="64" numFmtId="4" xfId="0" applyAlignment="1" applyBorder="1" applyFont="1" applyNumberFormat="1">
      <alignment horizontal="center" readingOrder="0" vertical="center"/>
    </xf>
    <xf borderId="194" fillId="8" fontId="7" numFmtId="165" xfId="0" applyAlignment="1" applyBorder="1" applyFont="1" applyNumberFormat="1">
      <alignment horizontal="left" readingOrder="0" vertical="center"/>
    </xf>
    <xf borderId="172" fillId="8" fontId="7" numFmtId="4" xfId="0" applyAlignment="1" applyBorder="1" applyFont="1" applyNumberFormat="1">
      <alignment horizontal="center" readingOrder="0" vertical="center"/>
    </xf>
    <xf borderId="200" fillId="8" fontId="64" numFmtId="4" xfId="0" applyAlignment="1" applyBorder="1" applyFont="1" applyNumberFormat="1">
      <alignment horizontal="center" readingOrder="0" vertical="center"/>
    </xf>
    <xf borderId="9" fillId="44" fontId="64" numFmtId="165" xfId="0" applyAlignment="1" applyBorder="1" applyFont="1" applyNumberFormat="1">
      <alignment horizontal="center" readingOrder="0" vertical="center"/>
    </xf>
    <xf borderId="59" fillId="44" fontId="64" numFmtId="165" xfId="0" applyAlignment="1" applyBorder="1" applyFont="1" applyNumberFormat="1">
      <alignment horizontal="center" readingOrder="0" vertical="center"/>
    </xf>
    <xf borderId="196" fillId="8" fontId="7" numFmtId="165" xfId="0" applyAlignment="1" applyBorder="1" applyFont="1" applyNumberFormat="1">
      <alignment horizontal="left" readingOrder="0" vertical="center"/>
    </xf>
    <xf borderId="201" fillId="8" fontId="64" numFmtId="165" xfId="0" applyAlignment="1" applyBorder="1" applyFont="1" applyNumberFormat="1">
      <alignment horizontal="center" readingOrder="0" vertical="center"/>
    </xf>
    <xf borderId="202" fillId="8" fontId="7" numFmtId="165" xfId="0" applyAlignment="1" applyBorder="1" applyFont="1" applyNumberFormat="1">
      <alignment horizontal="left" readingOrder="0" vertical="center"/>
    </xf>
    <xf borderId="71" fillId="8" fontId="64" numFmtId="165" xfId="0" applyAlignment="1" applyBorder="1" applyFont="1" applyNumberFormat="1">
      <alignment horizontal="center" readingOrder="0" vertical="center"/>
    </xf>
    <xf borderId="9" fillId="21" fontId="7" numFmtId="49" xfId="0" applyAlignment="1" applyBorder="1" applyFont="1" applyNumberFormat="1">
      <alignment horizontal="center" readingOrder="0" vertical="center"/>
    </xf>
    <xf borderId="192" fillId="8" fontId="7" numFmtId="165" xfId="0" applyAlignment="1" applyBorder="1" applyFont="1" applyNumberFormat="1">
      <alignment horizontal="left" readingOrder="0" vertical="center"/>
    </xf>
    <xf borderId="66" fillId="8" fontId="64" numFmtId="4" xfId="0" applyAlignment="1" applyBorder="1" applyFont="1" applyNumberFormat="1">
      <alignment horizontal="center" readingOrder="0" vertical="center"/>
    </xf>
    <xf borderId="0" fillId="2" fontId="70" numFmtId="0" xfId="0" applyAlignment="1" applyFont="1">
      <alignment horizontal="center" readingOrder="0" vertical="center"/>
    </xf>
    <xf borderId="179" fillId="8" fontId="7" numFmtId="165" xfId="0" applyAlignment="1" applyBorder="1" applyFont="1" applyNumberFormat="1">
      <alignment horizontal="left" readingOrder="0" vertical="center"/>
    </xf>
    <xf borderId="203" fillId="8" fontId="7" numFmtId="4" xfId="0" applyAlignment="1" applyBorder="1" applyFont="1" applyNumberFormat="1">
      <alignment horizontal="center" readingOrder="0" vertical="center"/>
    </xf>
    <xf borderId="204" fillId="8" fontId="7" numFmtId="165" xfId="0" applyAlignment="1" applyBorder="1" applyFont="1" applyNumberFormat="1">
      <alignment horizontal="left" readingOrder="0" vertical="center"/>
    </xf>
    <xf borderId="181" fillId="8" fontId="7" numFmtId="4" xfId="0" applyAlignment="1" applyBorder="1" applyFont="1" applyNumberFormat="1">
      <alignment horizontal="center" readingOrder="0" vertical="center"/>
    </xf>
    <xf borderId="0" fillId="44" fontId="64" numFmtId="4" xfId="0" applyAlignment="1" applyFont="1" applyNumberFormat="1">
      <alignment horizontal="center" readingOrder="0" vertical="center"/>
    </xf>
    <xf borderId="192" fillId="0" fontId="84" numFmtId="0" xfId="0" applyAlignment="1" applyBorder="1" applyFont="1">
      <alignment horizontal="center" readingOrder="0" vertical="center"/>
    </xf>
    <xf borderId="66" fillId="40" fontId="93" numFmtId="0" xfId="0" applyAlignment="1" applyBorder="1" applyFont="1">
      <alignment horizontal="center" readingOrder="0" vertical="center"/>
    </xf>
    <xf borderId="0" fillId="36" fontId="88" numFmtId="165" xfId="0" applyAlignment="1" applyFont="1" applyNumberFormat="1">
      <alignment horizontal="center" readingOrder="0" vertical="center"/>
    </xf>
    <xf borderId="74" fillId="0" fontId="58" numFmtId="0" xfId="0" applyBorder="1" applyFont="1"/>
    <xf borderId="205" fillId="2" fontId="94" numFmtId="0" xfId="0" applyAlignment="1" applyBorder="1" applyFont="1">
      <alignment horizontal="center" readingOrder="0" vertical="center"/>
    </xf>
    <xf borderId="206" fillId="0" fontId="58" numFmtId="0" xfId="0" applyBorder="1" applyFont="1"/>
    <xf borderId="207" fillId="0" fontId="58" numFmtId="0" xfId="0" applyBorder="1" applyFont="1"/>
    <xf borderId="74" fillId="2" fontId="70" numFmtId="0" xfId="0" applyAlignment="1" applyBorder="1" applyFont="1">
      <alignment horizontal="left" readingOrder="0" vertical="center"/>
    </xf>
    <xf borderId="59" fillId="40" fontId="83" numFmtId="0" xfId="0" applyAlignment="1" applyBorder="1" applyFont="1">
      <alignment horizontal="center" readingOrder="0" vertical="center"/>
    </xf>
    <xf borderId="208" fillId="0" fontId="58" numFmtId="0" xfId="0" applyBorder="1" applyFont="1"/>
    <xf borderId="209" fillId="0" fontId="58" numFmtId="0" xfId="0" applyBorder="1" applyFont="1"/>
    <xf borderId="210" fillId="0" fontId="58" numFmtId="0" xfId="0" applyBorder="1" applyFont="1"/>
    <xf borderId="74" fillId="0" fontId="95" numFmtId="0" xfId="0" applyAlignment="1" applyBorder="1" applyFont="1">
      <alignment horizontal="center" readingOrder="0" vertical="center"/>
    </xf>
    <xf borderId="211" fillId="45" fontId="95" numFmtId="0" xfId="0" applyAlignment="1" applyBorder="1" applyFill="1" applyFont="1">
      <alignment horizontal="center" readingOrder="0" vertical="center"/>
    </xf>
    <xf borderId="212" fillId="45" fontId="96" numFmtId="0" xfId="0" applyAlignment="1" applyBorder="1" applyFont="1">
      <alignment horizontal="center" readingOrder="0" vertical="center"/>
    </xf>
    <xf borderId="211" fillId="0" fontId="58" numFmtId="0" xfId="0" applyBorder="1" applyFont="1"/>
    <xf borderId="212" fillId="0" fontId="58" numFmtId="0" xfId="0" applyBorder="1" applyFont="1"/>
    <xf borderId="213" fillId="8" fontId="7" numFmtId="165" xfId="0" applyAlignment="1" applyBorder="1" applyFont="1" applyNumberFormat="1">
      <alignment horizontal="left" readingOrder="0" vertical="center"/>
    </xf>
    <xf borderId="214" fillId="8" fontId="64" numFmtId="4" xfId="0" applyAlignment="1" applyBorder="1" applyFont="1" applyNumberFormat="1">
      <alignment horizontal="center" readingOrder="0" vertical="center"/>
    </xf>
    <xf borderId="74" fillId="2" fontId="79" numFmtId="0" xfId="0" applyAlignment="1" applyBorder="1" applyFont="1">
      <alignment horizontal="center" readingOrder="0" vertical="center"/>
    </xf>
    <xf borderId="211" fillId="8" fontId="95" numFmtId="0" xfId="0" applyAlignment="1" applyBorder="1" applyFont="1">
      <alignment horizontal="center" readingOrder="0" vertical="center"/>
    </xf>
    <xf borderId="212" fillId="8" fontId="97" numFmtId="0" xfId="0" applyAlignment="1" applyBorder="1" applyFont="1">
      <alignment horizontal="center" readingOrder="0" vertical="center"/>
    </xf>
    <xf borderId="215" fillId="4" fontId="7" numFmtId="165" xfId="0" applyAlignment="1" applyBorder="1" applyFont="1" applyNumberFormat="1">
      <alignment horizontal="left" readingOrder="0" vertical="center"/>
    </xf>
    <xf borderId="216" fillId="4" fontId="64" numFmtId="4" xfId="0" applyAlignment="1" applyBorder="1" applyFont="1" applyNumberFormat="1">
      <alignment horizontal="center" readingOrder="0" vertical="center"/>
    </xf>
    <xf borderId="217" fillId="2" fontId="70" numFmtId="0" xfId="0" applyAlignment="1" applyBorder="1" applyFont="1">
      <alignment horizontal="right" readingOrder="0" vertical="center"/>
    </xf>
    <xf borderId="0" fillId="36" fontId="9" numFmtId="0" xfId="0" applyFont="1"/>
    <xf borderId="192" fillId="8" fontId="84" numFmtId="0" xfId="0" applyAlignment="1" applyBorder="1" applyFont="1">
      <alignment horizontal="center" readingOrder="0" vertical="center"/>
    </xf>
    <xf borderId="218" fillId="23" fontId="7" numFmtId="165" xfId="0" applyAlignment="1" applyBorder="1" applyFont="1" applyNumberFormat="1">
      <alignment horizontal="center" readingOrder="0" vertical="center"/>
    </xf>
    <xf borderId="41" fillId="8" fontId="7" numFmtId="165" xfId="0" applyAlignment="1" applyBorder="1" applyFont="1" applyNumberFormat="1">
      <alignment horizontal="center" vertical="center"/>
    </xf>
    <xf borderId="219" fillId="8" fontId="7" numFmtId="165" xfId="0" applyAlignment="1" applyBorder="1" applyFont="1" applyNumberFormat="1">
      <alignment horizontal="center" readingOrder="0" vertical="center"/>
    </xf>
    <xf borderId="41" fillId="8" fontId="7" numFmtId="165" xfId="0" applyAlignment="1" applyBorder="1" applyFont="1" applyNumberFormat="1">
      <alignment horizontal="center" readingOrder="0" vertical="center"/>
    </xf>
    <xf borderId="219" fillId="8" fontId="7" numFmtId="0" xfId="0" applyAlignment="1" applyBorder="1" applyFont="1">
      <alignment horizontal="center" readingOrder="0" vertical="center"/>
    </xf>
    <xf borderId="157" fillId="8" fontId="7" numFmtId="165" xfId="0" applyAlignment="1" applyBorder="1" applyFont="1" applyNumberFormat="1">
      <alignment horizontal="center" vertical="center"/>
    </xf>
    <xf borderId="220" fillId="2" fontId="88" numFmtId="0" xfId="0" applyAlignment="1" applyBorder="1" applyFont="1">
      <alignment horizontal="center" readingOrder="0" vertical="center"/>
    </xf>
    <xf borderId="221" fillId="2" fontId="88" numFmtId="0" xfId="0" applyAlignment="1" applyBorder="1" applyFont="1">
      <alignment horizontal="center" readingOrder="0" vertical="center"/>
    </xf>
    <xf borderId="222" fillId="2" fontId="88" numFmtId="0" xfId="0" applyAlignment="1" applyBorder="1" applyFont="1">
      <alignment horizontal="center" readingOrder="0" vertical="center"/>
    </xf>
    <xf borderId="213" fillId="44" fontId="7" numFmtId="165" xfId="0" applyAlignment="1" applyBorder="1" applyFont="1" applyNumberFormat="1">
      <alignment horizontal="left" readingOrder="0" vertical="center"/>
    </xf>
    <xf borderId="214" fillId="44" fontId="64" numFmtId="4" xfId="0" applyAlignment="1" applyBorder="1" applyFont="1" applyNumberFormat="1">
      <alignment horizontal="center" readingOrder="0" vertical="center"/>
    </xf>
    <xf borderId="211" fillId="46" fontId="7" numFmtId="0" xfId="0" applyAlignment="1" applyBorder="1" applyFill="1" applyFont="1">
      <alignment horizontal="center" readingOrder="0" vertical="center"/>
    </xf>
    <xf borderId="174" fillId="46" fontId="12" numFmtId="165" xfId="0" applyAlignment="1" applyBorder="1" applyFont="1" applyNumberFormat="1">
      <alignment horizontal="center" readingOrder="0" vertical="center"/>
    </xf>
    <xf borderId="212" fillId="46" fontId="7" numFmtId="10" xfId="0" applyAlignment="1" applyBorder="1" applyFont="1" applyNumberFormat="1">
      <alignment horizontal="center" vertical="center"/>
    </xf>
    <xf borderId="223" fillId="2" fontId="4" numFmtId="165" xfId="0" applyAlignment="1" applyBorder="1" applyFont="1" applyNumberFormat="1">
      <alignment horizontal="center" readingOrder="0" vertical="center"/>
    </xf>
    <xf borderId="224" fillId="0" fontId="58" numFmtId="0" xfId="0" applyBorder="1" applyFont="1"/>
    <xf borderId="225" fillId="0" fontId="58" numFmtId="0" xfId="0" applyBorder="1" applyFont="1"/>
    <xf borderId="226" fillId="2" fontId="90" numFmtId="0" xfId="0" applyAlignment="1" applyBorder="1" applyFont="1">
      <alignment horizontal="center" readingOrder="0" vertical="center"/>
    </xf>
    <xf borderId="66" fillId="38" fontId="98" numFmtId="49" xfId="0" applyAlignment="1" applyBorder="1" applyFont="1" applyNumberFormat="1">
      <alignment horizontal="center" vertical="center"/>
    </xf>
    <xf borderId="227" fillId="8" fontId="7" numFmtId="165" xfId="0" applyAlignment="1" applyBorder="1" applyFont="1" applyNumberFormat="1">
      <alignment horizontal="left" readingOrder="0" vertical="center"/>
    </xf>
    <xf borderId="211" fillId="8" fontId="7" numFmtId="0" xfId="0" applyAlignment="1" applyBorder="1" applyFont="1">
      <alignment horizontal="center" readingOrder="0" vertical="center"/>
    </xf>
    <xf borderId="174" fillId="8" fontId="12" numFmtId="165" xfId="0" applyAlignment="1" applyBorder="1" applyFont="1" applyNumberFormat="1">
      <alignment horizontal="center" readingOrder="0" vertical="center"/>
    </xf>
    <xf borderId="212" fillId="8" fontId="7" numFmtId="10" xfId="0" applyAlignment="1" applyBorder="1" applyFont="1" applyNumberFormat="1">
      <alignment horizontal="center" vertical="center"/>
    </xf>
    <xf borderId="228" fillId="0" fontId="58" numFmtId="0" xfId="0" applyBorder="1" applyFont="1"/>
    <xf borderId="229" fillId="0" fontId="58" numFmtId="0" xfId="0" applyBorder="1" applyFont="1"/>
    <xf borderId="230" fillId="0" fontId="58" numFmtId="0" xfId="0" applyBorder="1" applyFont="1"/>
    <xf borderId="72" fillId="0" fontId="58" numFmtId="0" xfId="0" applyBorder="1" applyFont="1"/>
    <xf borderId="231" fillId="2" fontId="88" numFmtId="165" xfId="0" applyAlignment="1" applyBorder="1" applyFont="1" applyNumberFormat="1">
      <alignment horizontal="center" readingOrder="0" vertical="center"/>
    </xf>
    <xf borderId="232" fillId="2" fontId="88" numFmtId="165" xfId="0" applyAlignment="1" applyBorder="1" applyFont="1" applyNumberFormat="1">
      <alignment horizontal="center" readingOrder="0" vertical="center"/>
    </xf>
    <xf borderId="233" fillId="2" fontId="88" numFmtId="165" xfId="0" applyAlignment="1" applyBorder="1" applyFont="1" applyNumberFormat="1">
      <alignment horizontal="center" readingOrder="0" vertical="center"/>
    </xf>
    <xf borderId="234" fillId="2" fontId="88" numFmtId="165" xfId="0" applyAlignment="1" applyBorder="1" applyFont="1" applyNumberFormat="1">
      <alignment horizontal="center" readingOrder="0" vertical="center"/>
    </xf>
    <xf borderId="192" fillId="2" fontId="99" numFmtId="165" xfId="0" applyAlignment="1" applyBorder="1" applyFont="1" applyNumberFormat="1">
      <alignment horizontal="center" readingOrder="0" vertical="center"/>
    </xf>
    <xf borderId="223" fillId="4" fontId="13" numFmtId="165" xfId="0" applyAlignment="1" applyBorder="1" applyFont="1" applyNumberFormat="1">
      <alignment horizontal="left" readingOrder="0" vertical="center"/>
    </xf>
    <xf borderId="235" fillId="4" fontId="7" numFmtId="165" xfId="0" applyAlignment="1" applyBorder="1" applyFont="1" applyNumberFormat="1">
      <alignment horizontal="center" readingOrder="0" vertical="center"/>
    </xf>
    <xf borderId="224" fillId="4" fontId="7" numFmtId="165" xfId="0" applyAlignment="1" applyBorder="1" applyFont="1" applyNumberFormat="1">
      <alignment horizontal="center" readingOrder="0" vertical="center"/>
    </xf>
    <xf borderId="236" fillId="4" fontId="7" numFmtId="165" xfId="0" applyAlignment="1" applyBorder="1" applyFont="1" applyNumberFormat="1">
      <alignment horizontal="center" vertical="center"/>
    </xf>
    <xf borderId="0" fillId="36" fontId="15" numFmtId="0" xfId="0" applyAlignment="1" applyFont="1">
      <alignment horizontal="center" vertical="center"/>
    </xf>
    <xf borderId="237" fillId="2" fontId="88" numFmtId="0" xfId="0" applyAlignment="1" applyBorder="1" applyFont="1">
      <alignment horizontal="center" readingOrder="0" vertical="center"/>
    </xf>
    <xf borderId="238" fillId="2" fontId="88" numFmtId="0" xfId="0" applyAlignment="1" applyBorder="1" applyFont="1">
      <alignment horizontal="center" readingOrder="0" vertical="center"/>
    </xf>
    <xf borderId="239" fillId="0" fontId="63" numFmtId="0" xfId="0" applyAlignment="1" applyBorder="1" applyFont="1">
      <alignment readingOrder="0"/>
    </xf>
    <xf borderId="0" fillId="0" fontId="63" numFmtId="0" xfId="0" applyAlignment="1" applyFont="1">
      <alignment horizontal="center" vertical="center"/>
    </xf>
    <xf borderId="174" fillId="0" fontId="63" numFmtId="0" xfId="0" applyAlignment="1" applyBorder="1" applyFont="1">
      <alignment horizontal="center" vertical="center"/>
    </xf>
    <xf borderId="0" fillId="0" fontId="63" numFmtId="0" xfId="0" applyAlignment="1" applyFont="1">
      <alignment horizontal="center" readingOrder="0" vertical="center"/>
    </xf>
    <xf borderId="240" fillId="0" fontId="63" numFmtId="0" xfId="0" applyAlignment="1" applyBorder="1" applyFont="1">
      <alignment horizontal="center" vertical="center"/>
    </xf>
    <xf borderId="9" fillId="8" fontId="64" numFmtId="49" xfId="0" applyAlignment="1" applyBorder="1" applyFont="1" applyNumberFormat="1">
      <alignment horizontal="center" readingOrder="0" vertical="center"/>
    </xf>
    <xf borderId="0" fillId="8" fontId="64" numFmtId="49" xfId="0" applyAlignment="1" applyFont="1" applyNumberFormat="1">
      <alignment horizontal="center" readingOrder="0" vertical="center"/>
    </xf>
    <xf borderId="241" fillId="2" fontId="70" numFmtId="0" xfId="0" applyAlignment="1" applyBorder="1" applyFont="1">
      <alignment horizontal="center" readingOrder="0" vertical="center"/>
    </xf>
    <xf borderId="241" fillId="2" fontId="3" numFmtId="0" xfId="0" applyAlignment="1" applyBorder="1" applyFont="1">
      <alignment horizontal="center" readingOrder="0" vertical="center"/>
    </xf>
    <xf borderId="242" fillId="27" fontId="9" numFmtId="0" xfId="0" applyAlignment="1" applyBorder="1" applyFont="1">
      <alignment horizontal="center" readingOrder="0" vertical="center"/>
    </xf>
    <xf borderId="243" fillId="27" fontId="100" numFmtId="0" xfId="0" applyAlignment="1" applyBorder="1" applyFont="1">
      <alignment horizontal="center" readingOrder="0" vertical="center"/>
    </xf>
    <xf borderId="239" fillId="4" fontId="63" numFmtId="0" xfId="0" applyAlignment="1" applyBorder="1" applyFont="1">
      <alignment readingOrder="0"/>
    </xf>
    <xf borderId="0" fillId="4" fontId="63" numFmtId="0" xfId="0" applyAlignment="1" applyFont="1">
      <alignment horizontal="center" vertical="center"/>
    </xf>
    <xf borderId="174" fillId="4" fontId="63" numFmtId="0" xfId="0" applyAlignment="1" applyBorder="1" applyFont="1">
      <alignment horizontal="center" vertical="center"/>
    </xf>
    <xf borderId="0" fillId="4" fontId="63" numFmtId="0" xfId="0" applyAlignment="1" applyFont="1">
      <alignment horizontal="center" readingOrder="0" vertical="center"/>
    </xf>
    <xf borderId="240" fillId="4" fontId="63" numFmtId="0" xfId="0" applyAlignment="1" applyBorder="1" applyFont="1">
      <alignment horizontal="center" vertical="center"/>
    </xf>
    <xf borderId="9" fillId="44" fontId="64" numFmtId="49" xfId="0" applyAlignment="1" applyBorder="1" applyFont="1" applyNumberFormat="1">
      <alignment horizontal="center" readingOrder="0" vertical="center"/>
    </xf>
    <xf borderId="0" fillId="44" fontId="64" numFmtId="49" xfId="0" applyAlignment="1" applyFont="1" applyNumberFormat="1">
      <alignment horizontal="center" readingOrder="0" vertical="center"/>
    </xf>
    <xf borderId="244" fillId="0" fontId="58" numFmtId="0" xfId="0" applyBorder="1" applyFont="1"/>
    <xf borderId="208" fillId="46" fontId="7" numFmtId="0" xfId="0" applyAlignment="1" applyBorder="1" applyFont="1">
      <alignment horizontal="center" readingOrder="0" vertical="center"/>
    </xf>
    <xf borderId="245" fillId="46" fontId="12" numFmtId="165" xfId="0" applyAlignment="1" applyBorder="1" applyFont="1" applyNumberFormat="1">
      <alignment horizontal="center" readingOrder="0" vertical="center"/>
    </xf>
    <xf borderId="210" fillId="46" fontId="7" numFmtId="10" xfId="0" applyAlignment="1" applyBorder="1" applyFont="1" applyNumberFormat="1">
      <alignment horizontal="center" vertical="center"/>
    </xf>
    <xf borderId="242" fillId="8" fontId="9" numFmtId="0" xfId="0" applyAlignment="1" applyBorder="1" applyFont="1">
      <alignment horizontal="center" readingOrder="0" vertical="center"/>
    </xf>
    <xf borderId="243" fillId="8" fontId="46" numFmtId="0" xfId="0" applyAlignment="1" applyBorder="1" applyFont="1">
      <alignment horizontal="center" readingOrder="0" vertical="center"/>
    </xf>
    <xf borderId="246" fillId="8" fontId="13" numFmtId="165" xfId="0" applyAlignment="1" applyBorder="1" applyFont="1" applyNumberFormat="1">
      <alignment horizontal="left" readingOrder="0" vertical="center"/>
    </xf>
    <xf borderId="240" fillId="8" fontId="7" numFmtId="165" xfId="0" applyAlignment="1" applyBorder="1" applyFont="1" applyNumberFormat="1">
      <alignment horizontal="center" readingOrder="0" vertical="center"/>
    </xf>
    <xf borderId="246" fillId="4" fontId="13" numFmtId="165" xfId="0" applyAlignment="1" applyBorder="1" applyFont="1" applyNumberFormat="1">
      <alignment horizontal="left" readingOrder="0" vertical="center"/>
    </xf>
    <xf borderId="174" fillId="4" fontId="7" numFmtId="165" xfId="0" applyAlignment="1" applyBorder="1" applyFont="1" applyNumberFormat="1">
      <alignment horizontal="center" readingOrder="0" vertical="center"/>
    </xf>
    <xf borderId="0" fillId="4" fontId="7" numFmtId="165" xfId="0" applyAlignment="1" applyFont="1" applyNumberFormat="1">
      <alignment horizontal="center" readingOrder="0" vertical="center"/>
    </xf>
    <xf borderId="240" fillId="4" fontId="7" numFmtId="165" xfId="0" applyAlignment="1" applyBorder="1" applyFont="1" applyNumberFormat="1">
      <alignment horizontal="center" vertical="center"/>
    </xf>
    <xf borderId="0" fillId="44" fontId="64" numFmtId="165" xfId="0" applyAlignment="1" applyFont="1" applyNumberFormat="1">
      <alignment horizontal="center" readingOrder="0" vertical="center"/>
    </xf>
    <xf borderId="247" fillId="2" fontId="101" numFmtId="165" xfId="0" applyAlignment="1" applyBorder="1" applyFont="1" applyNumberFormat="1">
      <alignment horizontal="center" readingOrder="0" vertical="center"/>
    </xf>
    <xf borderId="248" fillId="0" fontId="58" numFmtId="0" xfId="0" applyBorder="1" applyFont="1"/>
    <xf borderId="249" fillId="0" fontId="58" numFmtId="0" xfId="0" applyBorder="1" applyFont="1"/>
    <xf borderId="240" fillId="8" fontId="7" numFmtId="165" xfId="0" applyAlignment="1" applyBorder="1" applyFont="1" applyNumberFormat="1">
      <alignment horizontal="center" vertical="center"/>
    </xf>
    <xf borderId="65" fillId="8" fontId="64" numFmtId="165" xfId="0" applyAlignment="1" applyBorder="1" applyFont="1" applyNumberFormat="1">
      <alignment horizontal="center" readingOrder="0" vertical="center"/>
    </xf>
    <xf borderId="250" fillId="0" fontId="58" numFmtId="0" xfId="0" applyBorder="1" applyFont="1"/>
    <xf borderId="49" fillId="0" fontId="58" numFmtId="0" xfId="0" applyBorder="1" applyFont="1"/>
    <xf borderId="251" fillId="0" fontId="58" numFmtId="0" xfId="0" applyBorder="1" applyFont="1"/>
    <xf borderId="0" fillId="36" fontId="61" numFmtId="0" xfId="0" applyAlignment="1" applyFont="1">
      <alignment horizontal="center" readingOrder="0" vertical="center"/>
    </xf>
    <xf borderId="252" fillId="8" fontId="7" numFmtId="165" xfId="0" applyAlignment="1" applyBorder="1" applyFont="1" applyNumberFormat="1">
      <alignment horizontal="left" readingOrder="0" vertical="center"/>
    </xf>
    <xf borderId="0" fillId="8" fontId="7" numFmtId="4" xfId="0" applyAlignment="1" applyFont="1" applyNumberFormat="1">
      <alignment horizontal="center" readingOrder="0" vertical="center"/>
    </xf>
    <xf borderId="253" fillId="2" fontId="79" numFmtId="0" xfId="0" applyAlignment="1" applyBorder="1" applyFont="1">
      <alignment horizontal="center" readingOrder="0" vertical="center"/>
    </xf>
    <xf borderId="254" fillId="0" fontId="58" numFmtId="0" xfId="0" applyBorder="1" applyFont="1"/>
    <xf borderId="241" fillId="2" fontId="79" numFmtId="0" xfId="0" applyAlignment="1" applyBorder="1" applyFont="1">
      <alignment horizontal="center" readingOrder="0" vertical="center"/>
    </xf>
    <xf borderId="255" fillId="2" fontId="79" numFmtId="0" xfId="0" applyAlignment="1" applyBorder="1" applyFont="1">
      <alignment horizontal="center" readingOrder="0" vertical="center"/>
    </xf>
    <xf borderId="256" fillId="2" fontId="79" numFmtId="0" xfId="0" applyAlignment="1" applyBorder="1" applyFont="1">
      <alignment horizontal="center" readingOrder="0" vertical="center"/>
    </xf>
    <xf borderId="252" fillId="17" fontId="7" numFmtId="165" xfId="0" applyAlignment="1" applyBorder="1" applyFont="1" applyNumberFormat="1">
      <alignment horizontal="left" readingOrder="0" vertical="center"/>
    </xf>
    <xf borderId="9" fillId="17" fontId="7" numFmtId="4" xfId="0" applyAlignment="1" applyBorder="1" applyFont="1" applyNumberFormat="1">
      <alignment horizontal="center" readingOrder="0" vertical="center"/>
    </xf>
    <xf borderId="132" fillId="17" fontId="7" numFmtId="165" xfId="0" applyAlignment="1" applyBorder="1" applyFont="1" applyNumberFormat="1">
      <alignment horizontal="left" readingOrder="0" vertical="center"/>
    </xf>
    <xf borderId="0" fillId="17" fontId="7" numFmtId="4" xfId="0" applyAlignment="1" applyFont="1" applyNumberFormat="1">
      <alignment horizontal="center" readingOrder="0" vertical="center"/>
    </xf>
    <xf borderId="257" fillId="0" fontId="58" numFmtId="0" xfId="0" applyBorder="1" applyFont="1"/>
    <xf borderId="258" fillId="0" fontId="58" numFmtId="0" xfId="0" applyBorder="1" applyFont="1"/>
    <xf borderId="259" fillId="0" fontId="58" numFmtId="0" xfId="0" applyBorder="1" applyFont="1"/>
    <xf borderId="260" fillId="0" fontId="58" numFmtId="0" xfId="0" applyBorder="1" applyFont="1"/>
    <xf borderId="261" fillId="2" fontId="102" numFmtId="0" xfId="0" applyAlignment="1" applyBorder="1" applyFont="1">
      <alignment horizontal="center" readingOrder="0" vertical="center"/>
    </xf>
    <xf borderId="262" fillId="2" fontId="102" numFmtId="0" xfId="0" applyAlignment="1" applyBorder="1" applyFont="1">
      <alignment horizontal="center" readingOrder="0" vertical="center"/>
    </xf>
    <xf borderId="263" fillId="2" fontId="102" numFmtId="0" xfId="0" applyAlignment="1" applyBorder="1" applyFont="1">
      <alignment horizontal="center" readingOrder="0" vertical="center"/>
    </xf>
    <xf borderId="0" fillId="17" fontId="7" numFmtId="165" xfId="0" applyAlignment="1" applyFont="1" applyNumberFormat="1">
      <alignment horizontal="center" readingOrder="0" vertical="center"/>
    </xf>
    <xf borderId="264" fillId="47" fontId="103" numFmtId="0" xfId="0" applyAlignment="1" applyBorder="1" applyFill="1" applyFont="1">
      <alignment horizontal="center" readingOrder="0" vertical="center"/>
    </xf>
    <xf borderId="255" fillId="47" fontId="104" numFmtId="0" xfId="0" applyAlignment="1" applyBorder="1" applyFont="1">
      <alignment horizontal="center" readingOrder="0" vertical="center"/>
    </xf>
    <xf borderId="0" fillId="47" fontId="103" numFmtId="0" xfId="0" applyAlignment="1" applyFont="1">
      <alignment horizontal="center" readingOrder="0" vertical="center"/>
    </xf>
    <xf borderId="162" fillId="8" fontId="7" numFmtId="165" xfId="0" applyAlignment="1" applyBorder="1" applyFont="1" applyNumberFormat="1">
      <alignment horizontal="left" readingOrder="0" vertical="center"/>
    </xf>
    <xf borderId="1" fillId="8" fontId="7" numFmtId="4" xfId="0" applyAlignment="1" applyBorder="1" applyFont="1" applyNumberFormat="1">
      <alignment horizontal="center" readingOrder="0" vertical="center"/>
    </xf>
    <xf borderId="264" fillId="8" fontId="103" numFmtId="0" xfId="0" applyAlignment="1" applyBorder="1" applyFont="1">
      <alignment horizontal="center" readingOrder="0" vertical="center"/>
    </xf>
    <xf borderId="255" fillId="8" fontId="104" numFmtId="0" xfId="0" applyAlignment="1" applyBorder="1" applyFont="1">
      <alignment horizontal="center" readingOrder="0" vertical="center"/>
    </xf>
    <xf borderId="0" fillId="8" fontId="103" numFmtId="0" xfId="0" applyAlignment="1" applyFont="1">
      <alignment horizontal="center" readingOrder="0" vertical="center"/>
    </xf>
    <xf borderId="265" fillId="17" fontId="7" numFmtId="165" xfId="0" applyAlignment="1" applyBorder="1" applyFont="1" applyNumberFormat="1">
      <alignment horizontal="left" readingOrder="0" vertical="center"/>
    </xf>
    <xf borderId="172" fillId="17" fontId="7" numFmtId="4" xfId="0" applyAlignment="1" applyBorder="1" applyFont="1" applyNumberFormat="1">
      <alignment horizontal="center" readingOrder="0" vertical="center"/>
    </xf>
    <xf borderId="136" fillId="17" fontId="7" numFmtId="165" xfId="0" applyAlignment="1" applyBorder="1" applyFont="1" applyNumberFormat="1">
      <alignment horizontal="left" readingOrder="0" vertical="center"/>
    </xf>
    <xf borderId="136" fillId="17" fontId="7" numFmtId="165" xfId="0" applyAlignment="1" applyBorder="1" applyFont="1" applyNumberFormat="1">
      <alignment horizontal="center" readingOrder="0" vertical="center"/>
    </xf>
    <xf borderId="0" fillId="8" fontId="7" numFmtId="165" xfId="0" applyAlignment="1" applyFont="1" applyNumberFormat="1">
      <alignment horizontal="left" readingOrder="0" vertical="center"/>
    </xf>
    <xf borderId="0" fillId="17" fontId="7" numFmtId="165" xfId="0" applyAlignment="1" applyFont="1" applyNumberFormat="1">
      <alignment horizontal="left" readingOrder="0" vertical="center"/>
    </xf>
    <xf borderId="0" fillId="17" fontId="7" numFmtId="165" xfId="0" applyAlignment="1" applyFont="1" applyNumberFormat="1">
      <alignment horizontal="center" readingOrder="0" vertical="center"/>
    </xf>
    <xf borderId="266" fillId="8" fontId="13" numFmtId="165" xfId="0" applyAlignment="1" applyBorder="1" applyFont="1" applyNumberFormat="1">
      <alignment horizontal="left" readingOrder="0" vertical="top"/>
    </xf>
    <xf borderId="136" fillId="8" fontId="13" numFmtId="165" xfId="0" applyAlignment="1" applyBorder="1" applyFont="1" applyNumberFormat="1">
      <alignment horizontal="center" readingOrder="0" vertical="top"/>
    </xf>
    <xf borderId="172" fillId="8" fontId="7" numFmtId="49" xfId="0" applyAlignment="1" applyBorder="1" applyFont="1" applyNumberFormat="1">
      <alignment horizontal="center" readingOrder="0" vertical="top"/>
    </xf>
    <xf borderId="267" fillId="8" fontId="7" numFmtId="49" xfId="0" applyAlignment="1" applyBorder="1" applyFont="1" applyNumberFormat="1">
      <alignment horizontal="center" readingOrder="0" vertical="top"/>
    </xf>
    <xf borderId="139" fillId="17" fontId="7" numFmtId="165" xfId="0" applyAlignment="1" applyBorder="1" applyFont="1" applyNumberFormat="1">
      <alignment horizontal="left" readingOrder="0" vertical="center"/>
    </xf>
    <xf borderId="136" fillId="17" fontId="7" numFmtId="4" xfId="0" applyAlignment="1" applyBorder="1" applyFont="1" applyNumberFormat="1">
      <alignment horizontal="center" readingOrder="0" vertical="center"/>
    </xf>
    <xf borderId="268" fillId="4" fontId="13" numFmtId="165" xfId="0" applyAlignment="1" applyBorder="1" applyFont="1" applyNumberFormat="1">
      <alignment horizontal="left" readingOrder="0" vertical="top"/>
    </xf>
    <xf borderId="269" fillId="4" fontId="13" numFmtId="165" xfId="0" applyAlignment="1" applyBorder="1" applyFont="1" applyNumberFormat="1">
      <alignment horizontal="center" readingOrder="0" vertical="top"/>
    </xf>
    <xf borderId="270" fillId="4" fontId="7" numFmtId="49" xfId="0" applyAlignment="1" applyBorder="1" applyFont="1" applyNumberFormat="1">
      <alignment horizontal="center" readingOrder="0" vertical="top"/>
    </xf>
    <xf borderId="271" fillId="4" fontId="7" numFmtId="49" xfId="0" applyAlignment="1" applyBorder="1" applyFont="1" applyNumberFormat="1">
      <alignment horizontal="center" readingOrder="0" vertical="top"/>
    </xf>
    <xf borderId="268" fillId="8" fontId="13" numFmtId="165" xfId="0" applyAlignment="1" applyBorder="1" applyFont="1" applyNumberFormat="1">
      <alignment horizontal="left" readingOrder="0" vertical="top"/>
    </xf>
    <xf borderId="269" fillId="8" fontId="13" numFmtId="165" xfId="0" applyAlignment="1" applyBorder="1" applyFont="1" applyNumberFormat="1">
      <alignment horizontal="center" readingOrder="0" vertical="top"/>
    </xf>
    <xf borderId="270" fillId="8" fontId="7" numFmtId="49" xfId="0" applyAlignment="1" applyBorder="1" applyFont="1" applyNumberFormat="1">
      <alignment horizontal="center" readingOrder="0" vertical="top"/>
    </xf>
    <xf borderId="271" fillId="8" fontId="7" numFmtId="49" xfId="0" applyAlignment="1" applyBorder="1" applyFont="1" applyNumberFormat="1">
      <alignment horizontal="center" readingOrder="0" vertical="top"/>
    </xf>
    <xf borderId="247" fillId="2" fontId="78" numFmtId="0" xfId="0" applyAlignment="1" applyBorder="1" applyFont="1">
      <alignment horizontal="center" readingOrder="0" vertical="center"/>
    </xf>
    <xf borderId="272" fillId="0" fontId="58" numFmtId="0" xfId="0" applyBorder="1" applyFont="1"/>
    <xf borderId="273" fillId="0" fontId="58" numFmtId="0" xfId="0" applyBorder="1" applyFont="1"/>
    <xf borderId="274" fillId="0" fontId="58" numFmtId="0" xfId="0" applyBorder="1" applyFont="1"/>
    <xf borderId="265" fillId="8" fontId="7" numFmtId="165" xfId="0" applyAlignment="1" applyBorder="1" applyFont="1" applyNumberFormat="1">
      <alignment horizontal="left" readingOrder="0" vertical="center"/>
    </xf>
    <xf borderId="0" fillId="2" fontId="88" numFmtId="0" xfId="0" applyAlignment="1" applyFont="1">
      <alignment horizontal="center" readingOrder="0" vertical="center"/>
    </xf>
    <xf borderId="9" fillId="2" fontId="88" numFmtId="0" xfId="0" applyAlignment="1" applyBorder="1" applyFont="1">
      <alignment horizontal="center" readingOrder="0" vertical="center"/>
    </xf>
    <xf borderId="275" fillId="2" fontId="88" numFmtId="0" xfId="0" applyAlignment="1" applyBorder="1" applyFont="1">
      <alignment horizontal="center" readingOrder="0" vertical="center"/>
    </xf>
    <xf borderId="272" fillId="17" fontId="7" numFmtId="165" xfId="0" applyAlignment="1" applyBorder="1" applyFont="1" applyNumberFormat="1">
      <alignment horizontal="left" readingOrder="0" vertical="center"/>
    </xf>
    <xf borderId="276" fillId="17" fontId="7" numFmtId="4" xfId="0" applyAlignment="1" applyBorder="1" applyFont="1" applyNumberFormat="1">
      <alignment horizontal="center" readingOrder="0" vertical="center"/>
    </xf>
    <xf borderId="277" fillId="17" fontId="7" numFmtId="165" xfId="0" applyAlignment="1" applyBorder="1" applyFont="1" applyNumberFormat="1">
      <alignment horizontal="left" readingOrder="0" vertical="center"/>
    </xf>
    <xf borderId="273" fillId="17" fontId="7" numFmtId="4" xfId="0" applyAlignment="1" applyBorder="1" applyFont="1" applyNumberFormat="1">
      <alignment horizontal="center" readingOrder="0" vertical="center"/>
    </xf>
    <xf borderId="98" fillId="8" fontId="64" numFmtId="165" xfId="0" applyAlignment="1" applyBorder="1" applyFont="1" applyNumberFormat="1">
      <alignment horizontal="left" readingOrder="0" vertical="center"/>
    </xf>
    <xf borderId="100" fillId="8" fontId="64" numFmtId="165" xfId="0" applyAlignment="1" applyBorder="1" applyFont="1" applyNumberFormat="1">
      <alignment horizontal="center" vertical="center"/>
    </xf>
    <xf borderId="99" fillId="8" fontId="64" numFmtId="165" xfId="0" applyAlignment="1" applyBorder="1" applyFont="1" applyNumberFormat="1">
      <alignment horizontal="left" readingOrder="0" vertical="center"/>
    </xf>
    <xf borderId="100" fillId="8" fontId="7" numFmtId="4" xfId="0" applyAlignment="1" applyBorder="1" applyFont="1" applyNumberFormat="1">
      <alignment horizontal="center" vertical="center"/>
    </xf>
    <xf borderId="278" fillId="8" fontId="7" numFmtId="4" xfId="0" applyAlignment="1" applyBorder="1" applyFont="1" applyNumberFormat="1">
      <alignment horizontal="center" vertical="center"/>
    </xf>
    <xf borderId="9" fillId="27" fontId="100" numFmtId="0" xfId="0" applyAlignment="1" applyBorder="1" applyFont="1">
      <alignment horizontal="center" readingOrder="0"/>
    </xf>
    <xf borderId="9" fillId="27" fontId="100" numFmtId="0" xfId="0" applyAlignment="1" applyBorder="1" applyFont="1">
      <alignment horizontal="center" readingOrder="0" vertical="center"/>
    </xf>
    <xf borderId="275" fillId="27" fontId="100" numFmtId="0" xfId="0" applyAlignment="1" applyBorder="1" applyFont="1">
      <alignment horizontal="center" readingOrder="0"/>
    </xf>
    <xf borderId="133" fillId="21" fontId="64" numFmtId="165" xfId="0" applyAlignment="1" applyBorder="1" applyFont="1" applyNumberFormat="1">
      <alignment horizontal="left" readingOrder="0" vertical="center"/>
    </xf>
    <xf borderId="279" fillId="21" fontId="64" numFmtId="165" xfId="0" applyAlignment="1" applyBorder="1" applyFont="1" applyNumberFormat="1">
      <alignment horizontal="center" vertical="center"/>
    </xf>
    <xf borderId="0" fillId="21" fontId="64" numFmtId="165" xfId="0" applyAlignment="1" applyFont="1" applyNumberFormat="1">
      <alignment horizontal="left" readingOrder="0" vertical="center"/>
    </xf>
    <xf borderId="279" fillId="21" fontId="7" numFmtId="4" xfId="0" applyAlignment="1" applyBorder="1" applyFont="1" applyNumberFormat="1">
      <alignment horizontal="center" vertical="center"/>
    </xf>
    <xf borderId="278" fillId="4" fontId="7" numFmtId="4" xfId="0" applyAlignment="1" applyBorder="1" applyFont="1" applyNumberFormat="1">
      <alignment horizontal="center" vertical="center"/>
    </xf>
    <xf borderId="9" fillId="8" fontId="46" numFmtId="0" xfId="0" applyAlignment="1" applyBorder="1" applyFont="1">
      <alignment horizontal="center" readingOrder="0"/>
    </xf>
    <xf borderId="280" fillId="8" fontId="64" numFmtId="0" xfId="0" applyAlignment="1" applyBorder="1" applyFont="1">
      <alignment horizontal="center" readingOrder="0" vertical="center"/>
    </xf>
    <xf borderId="281" fillId="8" fontId="46" numFmtId="0" xfId="0" applyAlignment="1" applyBorder="1" applyFont="1">
      <alignment horizontal="center" readingOrder="0" vertical="center"/>
    </xf>
    <xf borderId="275" fillId="8" fontId="46" numFmtId="0" xfId="0" applyAlignment="1" applyBorder="1" applyFont="1">
      <alignment horizontal="center" readingOrder="0"/>
    </xf>
    <xf borderId="282" fillId="48" fontId="105" numFmtId="165" xfId="0" applyAlignment="1" applyBorder="1" applyFill="1" applyFont="1" applyNumberFormat="1">
      <alignment horizontal="center" readingOrder="0" vertical="center"/>
    </xf>
    <xf borderId="283" fillId="0" fontId="58" numFmtId="0" xfId="0" applyBorder="1" applyFont="1"/>
    <xf borderId="284" fillId="0" fontId="58" numFmtId="0" xfId="0" applyBorder="1" applyFont="1"/>
    <xf borderId="133" fillId="8" fontId="64" numFmtId="165" xfId="0" applyAlignment="1" applyBorder="1" applyFont="1" applyNumberFormat="1">
      <alignment horizontal="left" readingOrder="0" vertical="center"/>
    </xf>
    <xf borderId="279" fillId="8" fontId="64" numFmtId="165" xfId="0" applyAlignment="1" applyBorder="1" applyFont="1" applyNumberFormat="1">
      <alignment horizontal="center" vertical="center"/>
    </xf>
    <xf borderId="0" fillId="8" fontId="64" numFmtId="165" xfId="0" applyAlignment="1" applyFont="1" applyNumberFormat="1">
      <alignment horizontal="left" readingOrder="0" vertical="center"/>
    </xf>
    <xf borderId="279" fillId="8" fontId="7" numFmtId="4" xfId="0" applyAlignment="1" applyBorder="1" applyFont="1" applyNumberFormat="1">
      <alignment horizontal="center" vertical="center"/>
    </xf>
    <xf borderId="285" fillId="0" fontId="58" numFmtId="0" xfId="0" applyBorder="1" applyFont="1"/>
    <xf borderId="286" fillId="27" fontId="100" numFmtId="0" xfId="0" applyAlignment="1" applyBorder="1" applyFont="1">
      <alignment horizontal="center" vertical="center"/>
    </xf>
    <xf borderId="287" fillId="0" fontId="58" numFmtId="0" xfId="0" applyBorder="1" applyFont="1"/>
    <xf borderId="288" fillId="0" fontId="58" numFmtId="0" xfId="0" applyBorder="1" applyFont="1"/>
    <xf borderId="279" fillId="21" fontId="64" numFmtId="49" xfId="0" applyAlignment="1" applyBorder="1" applyFont="1" applyNumberFormat="1">
      <alignment horizontal="center" vertical="center"/>
    </xf>
    <xf borderId="9" fillId="8" fontId="46" numFmtId="165" xfId="0" applyAlignment="1" applyBorder="1" applyFont="1" applyNumberFormat="1">
      <alignment horizontal="center" readingOrder="0" vertical="center"/>
    </xf>
    <xf borderId="289" fillId="8" fontId="7" numFmtId="165" xfId="0" applyAlignment="1" applyBorder="1" applyFont="1" applyNumberFormat="1">
      <alignment horizontal="left" readingOrder="0" vertical="center"/>
    </xf>
    <xf borderId="172" fillId="8" fontId="7" numFmtId="165" xfId="0" applyAlignment="1" applyBorder="1" applyFont="1" applyNumberFormat="1">
      <alignment horizontal="center" readingOrder="0" vertical="center"/>
    </xf>
    <xf borderId="136" fillId="8" fontId="7" numFmtId="165" xfId="0" applyAlignment="1" applyBorder="1" applyFont="1" applyNumberFormat="1">
      <alignment horizontal="left" readingOrder="0" vertical="center"/>
    </xf>
    <xf borderId="290" fillId="8" fontId="7" numFmtId="165" xfId="0" applyAlignment="1" applyBorder="1" applyFont="1" applyNumberFormat="1">
      <alignment horizontal="center" readingOrder="0" vertical="center"/>
    </xf>
    <xf borderId="279" fillId="8" fontId="64" numFmtId="49" xfId="0" applyAlignment="1" applyBorder="1" applyFont="1" applyNumberFormat="1">
      <alignment horizontal="center" vertical="center"/>
    </xf>
    <xf borderId="287" fillId="48" fontId="7" numFmtId="165" xfId="0" applyAlignment="1" applyBorder="1" applyFont="1" applyNumberFormat="1">
      <alignment horizontal="left" readingOrder="0" vertical="center"/>
    </xf>
    <xf borderId="119" fillId="48" fontId="7" numFmtId="4" xfId="0" applyAlignment="1" applyBorder="1" applyFont="1" applyNumberFormat="1">
      <alignment horizontal="center" readingOrder="0" vertical="center"/>
    </xf>
    <xf borderId="1" fillId="48" fontId="7" numFmtId="165" xfId="0" applyAlignment="1" applyBorder="1" applyFont="1" applyNumberFormat="1">
      <alignment horizontal="left" readingOrder="0" vertical="center"/>
    </xf>
    <xf borderId="288" fillId="48" fontId="7" numFmtId="4" xfId="0" applyAlignment="1" applyBorder="1" applyFont="1" applyNumberFormat="1">
      <alignment horizontal="center" readingOrder="0" vertical="center"/>
    </xf>
    <xf borderId="0" fillId="0" fontId="9" numFmtId="0" xfId="0" applyAlignment="1" applyFont="1">
      <alignment horizontal="center" readingOrder="0" vertical="center"/>
    </xf>
    <xf borderId="243" fillId="0" fontId="106" numFmtId="0" xfId="0" applyAlignment="1" applyBorder="1" applyFont="1">
      <alignment readingOrder="0"/>
    </xf>
    <xf borderId="291" fillId="21" fontId="64" numFmtId="165" xfId="0" applyAlignment="1" applyBorder="1" applyFont="1" applyNumberFormat="1">
      <alignment horizontal="left" readingOrder="0" vertical="center"/>
    </xf>
    <xf borderId="292" fillId="21" fontId="64" numFmtId="165" xfId="0" applyAlignment="1" applyBorder="1" applyFont="1" applyNumberFormat="1">
      <alignment horizontal="center" vertical="center"/>
    </xf>
    <xf borderId="293" fillId="8" fontId="7" numFmtId="165" xfId="0" applyAlignment="1" applyBorder="1" applyFont="1" applyNumberFormat="1">
      <alignment horizontal="center" readingOrder="0" vertical="center"/>
    </xf>
    <xf borderId="190" fillId="8" fontId="7" numFmtId="0" xfId="0" applyAlignment="1" applyBorder="1" applyFont="1">
      <alignment horizontal="center" vertical="center"/>
    </xf>
    <xf borderId="294" fillId="0" fontId="58" numFmtId="0" xfId="0" applyBorder="1" applyFont="1"/>
    <xf borderId="286" fillId="27" fontId="100" numFmtId="0" xfId="0" applyAlignment="1" applyBorder="1" applyFont="1">
      <alignment horizontal="center" readingOrder="0" vertical="center"/>
    </xf>
    <xf borderId="295" fillId="48" fontId="7" numFmtId="165" xfId="0" applyAlignment="1" applyBorder="1" applyFont="1" applyNumberFormat="1">
      <alignment horizontal="left" readingOrder="0" vertical="center"/>
    </xf>
    <xf borderId="0" fillId="48" fontId="7" numFmtId="4" xfId="0" applyAlignment="1" applyFont="1" applyNumberFormat="1">
      <alignment horizontal="center" readingOrder="0" vertical="center"/>
    </xf>
    <xf borderId="0" fillId="48" fontId="7" numFmtId="165" xfId="0" applyAlignment="1" applyFont="1" applyNumberFormat="1">
      <alignment horizontal="left" readingOrder="0" vertical="center"/>
    </xf>
    <xf borderId="296" fillId="48" fontId="7" numFmtId="4" xfId="0" applyAlignment="1" applyBorder="1" applyFont="1" applyNumberFormat="1">
      <alignment horizontal="center" readingOrder="0" vertical="center"/>
    </xf>
    <xf borderId="130" fillId="21" fontId="64" numFmtId="165" xfId="0" applyAlignment="1" applyBorder="1" applyFont="1" applyNumberFormat="1">
      <alignment horizontal="left" readingOrder="0" vertical="center"/>
    </xf>
    <xf borderId="297" fillId="21" fontId="64" numFmtId="49" xfId="0" applyAlignment="1" applyBorder="1" applyFont="1" applyNumberFormat="1">
      <alignment horizontal="center" vertical="center"/>
    </xf>
    <xf borderId="107" fillId="21" fontId="64" numFmtId="165" xfId="0" applyAlignment="1" applyBorder="1" applyFont="1" applyNumberFormat="1">
      <alignment horizontal="left" readingOrder="0" vertical="center"/>
    </xf>
    <xf borderId="108" fillId="21" fontId="7" numFmtId="4" xfId="0" applyAlignment="1" applyBorder="1" applyFont="1" applyNumberFormat="1">
      <alignment horizontal="center" vertical="center"/>
    </xf>
    <xf borderId="295" fillId="8" fontId="7" numFmtId="165" xfId="0" applyAlignment="1" applyBorder="1" applyFont="1" applyNumberFormat="1">
      <alignment horizontal="left" readingOrder="0" vertical="center"/>
    </xf>
    <xf borderId="296" fillId="8" fontId="7" numFmtId="4" xfId="0" applyAlignment="1" applyBorder="1" applyFont="1" applyNumberFormat="1">
      <alignment horizontal="center" readingOrder="0" vertical="center"/>
    </xf>
    <xf borderId="279" fillId="8" fontId="64" numFmtId="4" xfId="0" applyAlignment="1" applyBorder="1" applyFont="1" applyNumberFormat="1">
      <alignment horizontal="center" vertical="center"/>
    </xf>
    <xf borderId="291" fillId="8" fontId="64" numFmtId="165" xfId="0" applyAlignment="1" applyBorder="1" applyFont="1" applyNumberFormat="1">
      <alignment horizontal="left" readingOrder="0" vertical="center"/>
    </xf>
    <xf borderId="292" fillId="8" fontId="64" numFmtId="165" xfId="0" applyAlignment="1" applyBorder="1" applyFont="1" applyNumberFormat="1">
      <alignment horizontal="center" vertical="center"/>
    </xf>
    <xf borderId="279" fillId="21" fontId="64" numFmtId="4" xfId="0" applyAlignment="1" applyBorder="1" applyFont="1" applyNumberFormat="1">
      <alignment horizontal="center" vertical="center"/>
    </xf>
    <xf borderId="0" fillId="8" fontId="64" numFmtId="165" xfId="0" applyAlignment="1" applyFont="1" applyNumberFormat="1">
      <alignment horizontal="center" readingOrder="0" vertical="center"/>
    </xf>
    <xf borderId="9" fillId="8" fontId="46" numFmtId="165" xfId="0" applyAlignment="1" applyBorder="1" applyFont="1" applyNumberFormat="1">
      <alignment horizontal="center" readingOrder="0"/>
    </xf>
    <xf borderId="9" fillId="8" fontId="46" numFmtId="165" xfId="0" applyAlignment="1" applyBorder="1" applyFont="1" applyNumberFormat="1">
      <alignment horizontal="center" readingOrder="0" vertical="center"/>
    </xf>
    <xf borderId="275" fillId="8" fontId="9" numFmtId="0" xfId="0" applyAlignment="1" applyBorder="1" applyFont="1">
      <alignment horizontal="center" readingOrder="0"/>
    </xf>
    <xf borderId="130" fillId="8" fontId="64" numFmtId="165" xfId="0" applyAlignment="1" applyBorder="1" applyFont="1" applyNumberFormat="1">
      <alignment horizontal="left" readingOrder="0" vertical="center"/>
    </xf>
    <xf borderId="297" fillId="8" fontId="64" numFmtId="4" xfId="0" applyAlignment="1" applyBorder="1" applyFont="1" applyNumberFormat="1">
      <alignment horizontal="center" vertical="center"/>
    </xf>
    <xf borderId="298" fillId="8" fontId="7" numFmtId="165" xfId="0" applyAlignment="1" applyBorder="1" applyFont="1" applyNumberFormat="1">
      <alignment horizontal="left" readingOrder="0" vertical="center"/>
    </xf>
    <xf borderId="273" fillId="27" fontId="64" numFmtId="0" xfId="0" applyAlignment="1" applyBorder="1" applyFont="1">
      <alignment horizontal="center" readingOrder="0" vertical="center"/>
    </xf>
    <xf borderId="276" fillId="27" fontId="100" numFmtId="0" xfId="0" applyAlignment="1" applyBorder="1" applyFont="1">
      <alignment horizontal="center" readingOrder="0" vertical="center"/>
    </xf>
    <xf borderId="274" fillId="27" fontId="9" numFmtId="0" xfId="0" applyAlignment="1" applyBorder="1" applyFont="1">
      <alignment horizontal="center" readingOrder="0" vertical="center"/>
    </xf>
    <xf borderId="293" fillId="2" fontId="90" numFmtId="0" xfId="0" applyAlignment="1" applyBorder="1" applyFont="1">
      <alignment horizontal="center" readingOrder="0" vertical="center"/>
    </xf>
    <xf borderId="298" fillId="4" fontId="7" numFmtId="165" xfId="0" applyAlignment="1" applyBorder="1" applyFont="1" applyNumberFormat="1">
      <alignment horizontal="left" readingOrder="0" vertical="center"/>
    </xf>
    <xf borderId="0" fillId="36" fontId="7" numFmtId="0" xfId="0" applyFont="1"/>
    <xf borderId="0" fillId="8" fontId="7" numFmtId="4" xfId="0" applyAlignment="1" applyFont="1" applyNumberFormat="1">
      <alignment horizontal="center" vertical="center"/>
    </xf>
    <xf borderId="0" fillId="48" fontId="7" numFmtId="4" xfId="0" applyAlignment="1" applyFont="1" applyNumberFormat="1">
      <alignment horizontal="center" vertical="center"/>
    </xf>
    <xf borderId="279" fillId="21" fontId="7" numFmtId="165" xfId="0" applyAlignment="1" applyBorder="1" applyFont="1" applyNumberFormat="1">
      <alignment horizontal="center" vertical="center"/>
    </xf>
    <xf borderId="106" fillId="8" fontId="64" numFmtId="165" xfId="0" applyAlignment="1" applyBorder="1" applyFont="1" applyNumberFormat="1">
      <alignment horizontal="left" readingOrder="0" vertical="center"/>
    </xf>
    <xf borderId="108" fillId="8" fontId="7" numFmtId="4" xfId="0" applyAlignment="1" applyBorder="1" applyFont="1" applyNumberFormat="1">
      <alignment horizontal="center" vertical="center"/>
    </xf>
    <xf borderId="299" fillId="0" fontId="7" numFmtId="0" xfId="0" applyAlignment="1" applyBorder="1" applyFont="1">
      <alignment readingOrder="0"/>
    </xf>
    <xf borderId="300" fillId="0" fontId="7" numFmtId="4" xfId="0" applyAlignment="1" applyBorder="1" applyFont="1" applyNumberFormat="1">
      <alignment horizontal="center" vertical="center"/>
    </xf>
    <xf borderId="106" fillId="21" fontId="64" numFmtId="165" xfId="0" applyAlignment="1" applyBorder="1" applyFont="1" applyNumberFormat="1">
      <alignment horizontal="left" readingOrder="0" vertical="center"/>
    </xf>
    <xf borderId="108" fillId="21" fontId="64" numFmtId="4" xfId="0" applyAlignment="1" applyBorder="1" applyFont="1" applyNumberFormat="1">
      <alignment horizontal="center" vertical="center"/>
    </xf>
    <xf borderId="91" fillId="16" fontId="64" numFmtId="0" xfId="0" applyAlignment="1" applyBorder="1" applyFont="1">
      <alignment horizontal="left" readingOrder="0" vertical="center"/>
    </xf>
    <xf borderId="92" fillId="16" fontId="64" numFmtId="4" xfId="0" applyAlignment="1" applyBorder="1" applyFont="1" applyNumberFormat="1">
      <alignment horizontal="center" readingOrder="0" vertical="center"/>
    </xf>
    <xf borderId="301" fillId="2" fontId="70" numFmtId="0" xfId="0" applyAlignment="1" applyBorder="1" applyFont="1">
      <alignment horizontal="center" readingOrder="0" vertical="center"/>
    </xf>
    <xf borderId="302" fillId="0" fontId="58" numFmtId="0" xfId="0" applyBorder="1" applyFont="1"/>
    <xf borderId="303" fillId="2" fontId="88" numFmtId="0" xfId="0" applyAlignment="1" applyBorder="1" applyFont="1">
      <alignment horizontal="center" readingOrder="0" vertical="center"/>
    </xf>
    <xf borderId="109" fillId="16" fontId="64" numFmtId="0" xfId="0" applyAlignment="1" applyBorder="1" applyFont="1">
      <alignment horizontal="left" readingOrder="0" vertical="center"/>
    </xf>
    <xf borderId="110" fillId="16" fontId="64" numFmtId="4" xfId="0" applyAlignment="1" applyBorder="1" applyFont="1" applyNumberFormat="1">
      <alignment horizontal="center" readingOrder="0" vertical="center"/>
    </xf>
    <xf borderId="0" fillId="8" fontId="64" numFmtId="0" xfId="0" applyAlignment="1" applyFont="1">
      <alignment horizontal="left" readingOrder="0" vertical="center"/>
    </xf>
    <xf borderId="13" fillId="8" fontId="64" numFmtId="4" xfId="0" applyAlignment="1" applyBorder="1" applyFont="1" applyNumberFormat="1">
      <alignment horizontal="center" vertical="center"/>
    </xf>
    <xf borderId="14" fillId="8" fontId="64" numFmtId="0" xfId="0" applyAlignment="1" applyBorder="1" applyFont="1">
      <alignment horizontal="left" readingOrder="0" vertical="center"/>
    </xf>
    <xf borderId="9" fillId="8" fontId="64" numFmtId="4" xfId="0" applyAlignment="1" applyBorder="1" applyFont="1" applyNumberFormat="1">
      <alignment horizontal="center" vertical="center"/>
    </xf>
    <xf borderId="0" fillId="16" fontId="64" numFmtId="0" xfId="0" applyAlignment="1" applyFont="1">
      <alignment horizontal="left" readingOrder="0" vertical="center"/>
    </xf>
    <xf borderId="13" fillId="16" fontId="64" numFmtId="4" xfId="0" applyAlignment="1" applyBorder="1" applyFont="1" applyNumberFormat="1">
      <alignment horizontal="center" vertical="center"/>
    </xf>
    <xf borderId="14" fillId="16" fontId="64" numFmtId="0" xfId="0" applyAlignment="1" applyBorder="1" applyFont="1">
      <alignment horizontal="left" readingOrder="0" vertical="center"/>
    </xf>
    <xf borderId="102" fillId="16" fontId="64" numFmtId="0" xfId="0" applyAlignment="1" applyBorder="1" applyFont="1">
      <alignment horizontal="left" readingOrder="0" vertical="center"/>
    </xf>
    <xf borderId="103" fillId="16" fontId="64" numFmtId="4" xfId="0" applyAlignment="1" applyBorder="1" applyFont="1" applyNumberFormat="1">
      <alignment horizontal="center" vertical="center"/>
    </xf>
    <xf borderId="127" fillId="16" fontId="64" numFmtId="0" xfId="0" applyAlignment="1" applyBorder="1" applyFont="1">
      <alignment horizontal="left" readingOrder="0" vertical="center"/>
    </xf>
    <xf borderId="128" fillId="16" fontId="64" numFmtId="4" xfId="0" applyAlignment="1" applyBorder="1" applyFont="1" applyNumberFormat="1">
      <alignment horizontal="center" vertical="center"/>
    </xf>
    <xf borderId="304" fillId="2" fontId="4" numFmtId="165" xfId="0" applyAlignment="1" applyBorder="1" applyFont="1" applyNumberFormat="1">
      <alignment horizontal="center" readingOrder="0" vertical="center"/>
    </xf>
    <xf borderId="305" fillId="0" fontId="58" numFmtId="0" xfId="0" applyBorder="1" applyFont="1"/>
    <xf borderId="306" fillId="0" fontId="58" numFmtId="0" xfId="0" applyBorder="1" applyFont="1"/>
    <xf borderId="307" fillId="2" fontId="4" numFmtId="165" xfId="0" applyAlignment="1" applyBorder="1" applyFont="1" applyNumberFormat="1">
      <alignment horizontal="center" readingOrder="0" vertical="center"/>
    </xf>
    <xf borderId="308" fillId="0" fontId="58" numFmtId="0" xfId="0" applyBorder="1" applyFont="1"/>
    <xf borderId="309" fillId="0" fontId="58" numFmtId="0" xfId="0" applyBorder="1" applyFont="1"/>
    <xf borderId="310" fillId="0" fontId="58" numFmtId="0" xfId="0" applyBorder="1" applyFont="1"/>
    <xf borderId="311" fillId="0" fontId="58" numFmtId="0" xfId="0" applyBorder="1" applyFont="1"/>
    <xf borderId="312" fillId="0" fontId="58" numFmtId="0" xfId="0" applyBorder="1" applyFont="1"/>
    <xf borderId="313" fillId="0" fontId="58" numFmtId="0" xfId="0" applyBorder="1" applyFont="1"/>
    <xf borderId="314" fillId="0" fontId="58" numFmtId="0" xfId="0" applyBorder="1" applyFont="1"/>
    <xf borderId="315" fillId="2" fontId="88" numFmtId="165" xfId="0" applyAlignment="1" applyBorder="1" applyFont="1" applyNumberFormat="1">
      <alignment horizontal="center" readingOrder="0" vertical="center"/>
    </xf>
    <xf borderId="316" fillId="0" fontId="58" numFmtId="0" xfId="0" applyBorder="1" applyFont="1"/>
    <xf borderId="317" fillId="2" fontId="88" numFmtId="165" xfId="0" applyAlignment="1" applyBorder="1" applyFont="1" applyNumberFormat="1">
      <alignment horizontal="center" readingOrder="0" vertical="center"/>
    </xf>
    <xf borderId="318" fillId="2" fontId="88" numFmtId="165" xfId="0" applyAlignment="1" applyBorder="1" applyFont="1" applyNumberFormat="1">
      <alignment horizontal="center" readingOrder="0" vertical="center"/>
    </xf>
    <xf borderId="156" fillId="2" fontId="88" numFmtId="165" xfId="0" applyAlignment="1" applyBorder="1" applyFont="1" applyNumberFormat="1">
      <alignment horizontal="center" readingOrder="0" vertical="center"/>
    </xf>
    <xf borderId="319" fillId="2" fontId="88" numFmtId="165" xfId="0" applyAlignment="1" applyBorder="1" applyFont="1" applyNumberFormat="1">
      <alignment horizontal="center" readingOrder="0" vertical="center"/>
    </xf>
    <xf borderId="41" fillId="2" fontId="88" numFmtId="165" xfId="0" applyAlignment="1" applyBorder="1" applyFont="1" applyNumberFormat="1">
      <alignment horizontal="center" readingOrder="0" vertical="center"/>
    </xf>
    <xf borderId="219" fillId="2" fontId="88" numFmtId="165" xfId="0" applyAlignment="1" applyBorder="1" applyFont="1" applyNumberFormat="1">
      <alignment horizontal="center" readingOrder="0" vertical="center"/>
    </xf>
    <xf borderId="157" fillId="2" fontId="88" numFmtId="165" xfId="0" applyAlignment="1" applyBorder="1" applyFont="1" applyNumberFormat="1">
      <alignment horizontal="center" readingOrder="0" vertical="center"/>
    </xf>
    <xf borderId="320" fillId="2" fontId="88" numFmtId="165" xfId="0" applyAlignment="1" applyBorder="1" applyFont="1" applyNumberFormat="1">
      <alignment horizontal="center" readingOrder="0" vertical="center"/>
    </xf>
    <xf borderId="321" fillId="2" fontId="88" numFmtId="165" xfId="0" applyAlignment="1" applyBorder="1" applyFont="1" applyNumberFormat="1">
      <alignment horizontal="center" readingOrder="0" vertical="center"/>
    </xf>
    <xf borderId="93" fillId="2" fontId="88" numFmtId="165" xfId="0" applyAlignment="1" applyBorder="1" applyFont="1" applyNumberFormat="1">
      <alignment horizontal="center" vertical="center"/>
    </xf>
    <xf borderId="93" fillId="2" fontId="88" numFmtId="165" xfId="0" applyAlignment="1" applyBorder="1" applyFont="1" applyNumberFormat="1">
      <alignment horizontal="center" readingOrder="0" vertical="center"/>
    </xf>
    <xf borderId="322" fillId="4" fontId="7" numFmtId="165" xfId="0" applyAlignment="1" applyBorder="1" applyFont="1" applyNumberFormat="1">
      <alignment horizontal="left" readingOrder="0" vertical="center"/>
    </xf>
    <xf borderId="132" fillId="4" fontId="7" numFmtId="165" xfId="0" applyAlignment="1" applyBorder="1" applyFont="1" applyNumberFormat="1">
      <alignment horizontal="center" readingOrder="0" vertical="center"/>
    </xf>
    <xf borderId="9" fillId="4" fontId="7" numFmtId="165" xfId="0" applyAlignment="1" applyBorder="1" applyFont="1" applyNumberFormat="1">
      <alignment horizontal="center" readingOrder="0" vertical="center"/>
    </xf>
    <xf borderId="174" fillId="4" fontId="7" numFmtId="4" xfId="0" applyAlignment="1" applyBorder="1" applyFont="1" applyNumberFormat="1">
      <alignment horizontal="center" vertical="center"/>
    </xf>
    <xf borderId="323" fillId="4" fontId="13" numFmtId="165" xfId="0" applyAlignment="1" applyBorder="1" applyFont="1" applyNumberFormat="1">
      <alignment horizontal="center" readingOrder="0" vertical="center"/>
    </xf>
    <xf borderId="132" fillId="23" fontId="7" numFmtId="165" xfId="0" applyAlignment="1" applyBorder="1" applyFont="1" applyNumberFormat="1">
      <alignment horizontal="center" readingOrder="0"/>
    </xf>
    <xf borderId="0" fillId="23" fontId="7" numFmtId="165" xfId="0" applyAlignment="1" applyFont="1" applyNumberFormat="1">
      <alignment horizontal="center"/>
    </xf>
    <xf borderId="324" fillId="8" fontId="7" numFmtId="0" xfId="0" applyAlignment="1" applyBorder="1" applyFont="1">
      <alignment horizontal="center" readingOrder="0" vertical="center"/>
    </xf>
    <xf borderId="132" fillId="23" fontId="7" numFmtId="4" xfId="0" applyAlignment="1" applyBorder="1" applyFont="1" applyNumberFormat="1">
      <alignment horizontal="center" readingOrder="0" vertical="center"/>
    </xf>
    <xf borderId="324" fillId="23" fontId="7" numFmtId="4" xfId="0" applyAlignment="1" applyBorder="1" applyFont="1" applyNumberFormat="1">
      <alignment horizontal="center" readingOrder="0" vertical="center"/>
    </xf>
    <xf borderId="325" fillId="8" fontId="107" numFmtId="165" xfId="0" applyAlignment="1" applyBorder="1" applyFont="1" applyNumberFormat="1">
      <alignment horizontal="center" readingOrder="0" vertical="center"/>
    </xf>
    <xf borderId="325" fillId="8" fontId="108" numFmtId="165" xfId="0" applyAlignment="1" applyBorder="1" applyFont="1" applyNumberFormat="1">
      <alignment horizontal="center" readingOrder="0" vertical="center"/>
    </xf>
    <xf borderId="322" fillId="8" fontId="7" numFmtId="165" xfId="0" applyAlignment="1" applyBorder="1" applyFont="1" applyNumberFormat="1">
      <alignment horizontal="left" readingOrder="0" vertical="center"/>
    </xf>
    <xf borderId="132" fillId="8" fontId="7" numFmtId="165" xfId="0" applyAlignment="1" applyBorder="1" applyFont="1" applyNumberFormat="1">
      <alignment horizontal="center" readingOrder="0" vertical="center"/>
    </xf>
    <xf borderId="174" fillId="8" fontId="7" numFmtId="4" xfId="0" applyAlignment="1" applyBorder="1" applyFont="1" applyNumberFormat="1">
      <alignment horizontal="center" vertical="center"/>
    </xf>
    <xf borderId="323" fillId="8" fontId="13" numFmtId="165" xfId="0" applyAlignment="1" applyBorder="1" applyFont="1" applyNumberFormat="1">
      <alignment horizontal="center" readingOrder="0" vertical="center"/>
    </xf>
    <xf borderId="132" fillId="8" fontId="7" numFmtId="165" xfId="0" applyAlignment="1" applyBorder="1" applyFont="1" applyNumberFormat="1">
      <alignment horizontal="center"/>
    </xf>
    <xf borderId="0" fillId="8" fontId="7" numFmtId="165" xfId="0" applyAlignment="1" applyFont="1" applyNumberFormat="1">
      <alignment horizontal="center"/>
    </xf>
    <xf borderId="132" fillId="8" fontId="7" numFmtId="4" xfId="0" applyAlignment="1" applyBorder="1" applyFont="1" applyNumberFormat="1">
      <alignment horizontal="center" readingOrder="0" vertical="center"/>
    </xf>
    <xf borderId="324" fillId="8" fontId="7" numFmtId="4" xfId="0" applyAlignment="1" applyBorder="1" applyFont="1" applyNumberFormat="1">
      <alignment horizontal="center" readingOrder="0" vertical="center"/>
    </xf>
    <xf borderId="132" fillId="23" fontId="7" numFmtId="165" xfId="0" applyAlignment="1" applyBorder="1" applyFont="1" applyNumberFormat="1">
      <alignment horizontal="center"/>
    </xf>
    <xf borderId="132" fillId="4" fontId="7" numFmtId="165" xfId="0" applyAlignment="1" applyBorder="1" applyFont="1" applyNumberFormat="1">
      <alignment horizontal="center" vertical="center"/>
    </xf>
    <xf borderId="132" fillId="8" fontId="7" numFmtId="165" xfId="0" applyAlignment="1" applyBorder="1" applyFont="1" applyNumberFormat="1">
      <alignment horizontal="center" vertical="center"/>
    </xf>
    <xf borderId="0" fillId="0" fontId="2" numFmtId="0" xfId="0" applyAlignment="1" applyFont="1">
      <alignment horizontal="center" vertical="center"/>
    </xf>
    <xf borderId="174" fillId="0" fontId="2" numFmtId="0" xfId="0" applyAlignment="1" applyBorder="1" applyFont="1">
      <alignment horizontal="center" readingOrder="0" vertical="center"/>
    </xf>
    <xf borderId="0" fillId="0" fontId="2" numFmtId="0" xfId="0" applyAlignment="1" applyFont="1">
      <alignment horizontal="center" readingOrder="0" vertical="center"/>
    </xf>
    <xf borderId="9" fillId="8" fontId="7" numFmtId="0" xfId="0" applyAlignment="1" applyBorder="1" applyFont="1">
      <alignment horizontal="center" vertical="center"/>
    </xf>
    <xf borderId="9" fillId="8" fontId="2" numFmtId="0" xfId="0" applyAlignment="1" applyBorder="1" applyFont="1">
      <alignment horizontal="center" readingOrder="0" vertical="center"/>
    </xf>
    <xf borderId="0" fillId="4" fontId="7" numFmtId="165" xfId="0" applyAlignment="1" applyFont="1" applyNumberFormat="1">
      <alignment horizontal="center" vertical="center"/>
    </xf>
    <xf borderId="9" fillId="4" fontId="7" numFmtId="165" xfId="0" applyAlignment="1" applyBorder="1" applyFont="1" applyNumberFormat="1">
      <alignment horizontal="center" vertical="center"/>
    </xf>
    <xf borderId="9" fillId="8" fontId="7" numFmtId="165" xfId="0" applyAlignment="1" applyBorder="1" applyFont="1" applyNumberFormat="1">
      <alignment horizontal="center" vertical="center"/>
    </xf>
    <xf borderId="132" fillId="23" fontId="7" numFmtId="165" xfId="0" applyAlignment="1" applyBorder="1" applyFont="1" applyNumberFormat="1">
      <alignment horizontal="center"/>
    </xf>
    <xf borderId="310" fillId="4" fontId="7" numFmtId="165" xfId="0" applyAlignment="1" applyBorder="1" applyFont="1" applyNumberFormat="1">
      <alignment horizontal="left" readingOrder="0" vertical="center"/>
    </xf>
    <xf borderId="326" fillId="0" fontId="58" numFmtId="0" xfId="0" applyBorder="1" applyFont="1"/>
    <xf borderId="327" fillId="4" fontId="7" numFmtId="165" xfId="0" applyAlignment="1" applyBorder="1" applyFont="1" applyNumberFormat="1">
      <alignment horizontal="center" vertical="center"/>
    </xf>
    <xf borderId="229" fillId="4" fontId="7" numFmtId="165" xfId="0" applyAlignment="1" applyBorder="1" applyFont="1" applyNumberFormat="1">
      <alignment horizontal="center" readingOrder="0" vertical="center"/>
    </xf>
    <xf borderId="326" fillId="4" fontId="7" numFmtId="165" xfId="0" applyAlignment="1" applyBorder="1" applyFont="1" applyNumberFormat="1">
      <alignment horizontal="center" readingOrder="0" vertical="center"/>
    </xf>
    <xf borderId="328" fillId="4" fontId="7" numFmtId="165" xfId="0" applyAlignment="1" applyBorder="1" applyFont="1" applyNumberFormat="1">
      <alignment horizontal="center" readingOrder="0" vertical="center"/>
    </xf>
    <xf borderId="311" fillId="4" fontId="13" numFmtId="165" xfId="0" applyAlignment="1" applyBorder="1" applyFont="1" applyNumberFormat="1">
      <alignment horizontal="center" readingOrder="0" vertical="center"/>
    </xf>
    <xf borderId="329" fillId="8" fontId="107" numFmtId="165" xfId="0" applyAlignment="1" applyBorder="1" applyFont="1" applyNumberFormat="1">
      <alignment horizontal="center" readingOrder="0" vertical="center"/>
    </xf>
    <xf borderId="330" fillId="8" fontId="108" numFmtId="165" xfId="0" applyAlignment="1" applyBorder="1" applyFont="1" applyNumberFormat="1">
      <alignment horizontal="center" readingOrder="0" vertical="center"/>
    </xf>
    <xf borderId="324" fillId="8" fontId="7" numFmtId="165" xfId="0" applyAlignment="1" applyBorder="1" applyFont="1" applyNumberFormat="1">
      <alignment horizontal="center" readingOrder="0" vertical="center"/>
    </xf>
    <xf borderId="139" fillId="27" fontId="7" numFmtId="165" xfId="0" applyAlignment="1" applyBorder="1" applyFont="1" applyNumberFormat="1">
      <alignment horizontal="center" vertical="center"/>
    </xf>
    <xf borderId="136" fillId="27" fontId="7" numFmtId="165" xfId="0" applyAlignment="1" applyBorder="1" applyFont="1" applyNumberFormat="1">
      <alignment horizontal="center" readingOrder="0" vertical="center"/>
    </xf>
    <xf borderId="169" fillId="8" fontId="7" numFmtId="165" xfId="0" applyAlignment="1" applyBorder="1" applyFont="1" applyNumberFormat="1">
      <alignment horizontal="center" readingOrder="0" vertical="center"/>
    </xf>
    <xf borderId="331" fillId="8" fontId="64" numFmtId="165" xfId="0" applyAlignment="1" applyBorder="1" applyFont="1" applyNumberFormat="1">
      <alignment horizontal="center" readingOrder="0" vertical="center"/>
    </xf>
    <xf borderId="139" fillId="8" fontId="7" numFmtId="4" xfId="0" applyAlignment="1" applyBorder="1" applyFont="1" applyNumberFormat="1">
      <alignment horizontal="center" readingOrder="0" vertical="center"/>
    </xf>
    <xf borderId="331" fillId="8" fontId="7" numFmtId="4" xfId="0" applyAlignment="1" applyBorder="1" applyFont="1" applyNumberFormat="1">
      <alignment horizontal="center" readingOrder="0" vertical="center"/>
    </xf>
    <xf borderId="332" fillId="8" fontId="108" numFmtId="165" xfId="0" applyAlignment="1" applyBorder="1" applyFont="1" applyNumberFormat="1">
      <alignment horizontal="center" readingOrder="0" vertical="center"/>
    </xf>
    <xf borderId="324" fillId="8" fontId="64" numFmtId="165" xfId="0" applyAlignment="1" applyBorder="1" applyFont="1" applyNumberFormat="1">
      <alignment horizontal="center" readingOrder="0" vertical="center"/>
    </xf>
    <xf borderId="0" fillId="36" fontId="76" numFmtId="165" xfId="0" applyAlignment="1" applyFont="1" applyNumberFormat="1">
      <alignment horizontal="left" vertical="center"/>
    </xf>
    <xf borderId="333" fillId="8" fontId="108" numFmtId="165" xfId="0" applyAlignment="1" applyBorder="1" applyFont="1" applyNumberFormat="1">
      <alignment horizontal="center" readingOrder="0" vertical="center"/>
    </xf>
    <xf borderId="132" fillId="27" fontId="7" numFmtId="165" xfId="0" applyAlignment="1" applyBorder="1" applyFont="1" applyNumberFormat="1">
      <alignment horizontal="center" vertical="center"/>
    </xf>
    <xf borderId="0" fillId="27" fontId="7" numFmtId="165" xfId="0" applyAlignment="1" applyFont="1" applyNumberFormat="1">
      <alignment horizontal="center" readingOrder="0" vertical="center"/>
    </xf>
    <xf borderId="334" fillId="8" fontId="7" numFmtId="165" xfId="0" applyAlignment="1" applyBorder="1" applyFont="1" applyNumberFormat="1">
      <alignment horizontal="center" readingOrder="0" vertical="center"/>
    </xf>
    <xf borderId="314" fillId="8" fontId="7" numFmtId="165" xfId="0" applyAlignment="1" applyBorder="1" applyFont="1" applyNumberFormat="1">
      <alignment horizontal="center" readingOrder="0" vertical="center"/>
    </xf>
    <xf borderId="335" fillId="8" fontId="7" numFmtId="4" xfId="0" applyAlignment="1" applyBorder="1" applyFont="1" applyNumberFormat="1">
      <alignment horizontal="center" readingOrder="0" vertical="center"/>
    </xf>
    <xf borderId="314" fillId="8" fontId="7" numFmtId="4" xfId="0" applyAlignment="1" applyBorder="1" applyFont="1" applyNumberFormat="1">
      <alignment horizontal="center" readingOrder="0" vertical="center"/>
    </xf>
    <xf borderId="320" fillId="8" fontId="108" numFmtId="165" xfId="0" applyAlignment="1" applyBorder="1" applyFont="1" applyNumberFormat="1">
      <alignment horizontal="center" readingOrder="0" vertical="center"/>
    </xf>
    <xf borderId="336" fillId="8" fontId="7" numFmtId="165" xfId="0" applyAlignment="1" applyBorder="1" applyFont="1" applyNumberFormat="1">
      <alignment horizontal="center" readingOrder="0" vertical="center"/>
    </xf>
    <xf borderId="337" fillId="8" fontId="7" numFmtId="165" xfId="0" applyAlignment="1" applyBorder="1" applyFont="1" applyNumberFormat="1">
      <alignment horizontal="center" readingOrder="0" vertical="center"/>
    </xf>
    <xf borderId="338" fillId="8" fontId="7" numFmtId="165" xfId="0" applyAlignment="1" applyBorder="1" applyFont="1" applyNumberFormat="1">
      <alignment horizontal="center" readingOrder="0" vertical="center"/>
    </xf>
    <xf borderId="339" fillId="23" fontId="7" numFmtId="165" xfId="0" applyAlignment="1" applyBorder="1" applyFont="1" applyNumberFormat="1">
      <alignment horizontal="center"/>
    </xf>
    <xf borderId="340" fillId="23" fontId="7" numFmtId="165" xfId="0" applyAlignment="1" applyBorder="1" applyFont="1" applyNumberFormat="1">
      <alignment horizontal="center"/>
    </xf>
    <xf borderId="341" fillId="23" fontId="7" numFmtId="165" xfId="0" applyAlignment="1" applyBorder="1" applyFont="1" applyNumberFormat="1">
      <alignment horizontal="center"/>
    </xf>
    <xf borderId="342" fillId="4" fontId="63" numFmtId="165" xfId="0" applyAlignment="1" applyBorder="1" applyFont="1" applyNumberFormat="1">
      <alignment horizontal="left" readingOrder="0" vertical="center"/>
    </xf>
    <xf borderId="235" fillId="4" fontId="63" numFmtId="165" xfId="0" applyAlignment="1" applyBorder="1" applyFont="1" applyNumberFormat="1">
      <alignment horizontal="center" readingOrder="0" vertical="center"/>
    </xf>
    <xf borderId="236" fillId="4" fontId="63" numFmtId="165" xfId="0" applyAlignment="1" applyBorder="1" applyFont="1" applyNumberFormat="1">
      <alignment horizontal="center" vertical="center"/>
    </xf>
    <xf borderId="315" fillId="4" fontId="13" numFmtId="165" xfId="0" applyAlignment="1" applyBorder="1" applyFont="1" applyNumberFormat="1">
      <alignment horizontal="left" readingOrder="0" vertical="center"/>
    </xf>
    <xf borderId="232" fillId="4" fontId="7" numFmtId="165" xfId="0" applyAlignment="1" applyBorder="1" applyFont="1" applyNumberFormat="1">
      <alignment horizontal="center" readingOrder="0" vertical="center"/>
    </xf>
    <xf borderId="233" fillId="4" fontId="7" numFmtId="165" xfId="0" applyAlignment="1" applyBorder="1" applyFont="1" applyNumberFormat="1">
      <alignment horizontal="center" readingOrder="0" vertical="center"/>
    </xf>
    <xf borderId="234" fillId="4" fontId="7" numFmtId="165" xfId="0" applyAlignment="1" applyBorder="1" applyFont="1" applyNumberFormat="1">
      <alignment horizontal="center" vertical="center"/>
    </xf>
    <xf borderId="342" fillId="8" fontId="13" numFmtId="165" xfId="0" applyAlignment="1" applyBorder="1" applyFont="1" applyNumberFormat="1">
      <alignment horizontal="left" readingOrder="0" vertical="top"/>
    </xf>
    <xf borderId="224" fillId="8" fontId="13" numFmtId="165" xfId="0" applyAlignment="1" applyBorder="1" applyFont="1" applyNumberFormat="1">
      <alignment horizontal="center" readingOrder="0" vertical="top"/>
    </xf>
    <xf borderId="343" fillId="8" fontId="7" numFmtId="49" xfId="0" applyAlignment="1" applyBorder="1" applyFont="1" applyNumberFormat="1">
      <alignment horizontal="center" readingOrder="0" vertical="top"/>
    </xf>
    <xf borderId="225" fillId="8" fontId="7" numFmtId="49" xfId="0" applyAlignment="1" applyBorder="1" applyFont="1" applyNumberFormat="1">
      <alignment horizontal="center" readingOrder="0" vertical="top"/>
    </xf>
    <xf borderId="344" fillId="4" fontId="13" numFmtId="165" xfId="0" applyAlignment="1" applyBorder="1" applyFont="1" applyNumberFormat="1">
      <alignment horizontal="left" readingOrder="0" vertical="top"/>
    </xf>
    <xf borderId="345" fillId="4" fontId="7" numFmtId="49" xfId="0" applyAlignment="1" applyBorder="1" applyFont="1" applyNumberFormat="1">
      <alignment horizontal="center" readingOrder="0" vertical="top"/>
    </xf>
    <xf borderId="344" fillId="8" fontId="13" numFmtId="165" xfId="0" applyAlignment="1" applyBorder="1" applyFont="1" applyNumberFormat="1">
      <alignment horizontal="left" readingOrder="0" vertical="top"/>
    </xf>
    <xf borderId="345" fillId="8" fontId="7" numFmtId="49" xfId="0" applyAlignment="1" applyBorder="1" applyFont="1" applyNumberFormat="1">
      <alignment horizontal="center" readingOrder="0" vertical="top"/>
    </xf>
    <xf borderId="300" fillId="0" fontId="7" numFmtId="4" xfId="0" applyAlignment="1" applyBorder="1" applyFont="1" applyNumberFormat="1">
      <alignment horizontal="center" readingOrder="0" vertical="center"/>
    </xf>
    <xf borderId="0" fillId="2" fontId="12" numFmtId="0" xfId="0" applyAlignment="1" applyFont="1">
      <alignment horizontal="center" vertical="center"/>
    </xf>
    <xf borderId="137" fillId="49" fontId="80" numFmtId="0" xfId="0" applyAlignment="1" applyBorder="1" applyFill="1" applyFont="1">
      <alignment horizontal="center" vertical="center"/>
    </xf>
    <xf borderId="190" fillId="0" fontId="58" numFmtId="0" xfId="0" applyBorder="1" applyFont="1"/>
    <xf borderId="189" fillId="0" fontId="58" numFmtId="0" xfId="0" applyBorder="1" applyFont="1"/>
    <xf borderId="346" fillId="14" fontId="71" numFmtId="0" xfId="0" applyAlignment="1" applyBorder="1" applyFont="1">
      <alignment horizontal="center" vertical="center"/>
    </xf>
    <xf borderId="346" fillId="22" fontId="71" numFmtId="0" xfId="0" applyAlignment="1" applyBorder="1" applyFont="1">
      <alignment horizontal="center" vertical="center"/>
    </xf>
    <xf borderId="346" fillId="46" fontId="71" numFmtId="0" xfId="0" applyAlignment="1" applyBorder="1" applyFont="1">
      <alignment horizontal="center" vertical="center"/>
    </xf>
    <xf borderId="346" fillId="44" fontId="71" numFmtId="0" xfId="0" applyAlignment="1" applyBorder="1" applyFont="1">
      <alignment horizontal="center" vertical="center"/>
    </xf>
    <xf borderId="346" fillId="27" fontId="71" numFmtId="0" xfId="0" applyAlignment="1" applyBorder="1" applyFont="1">
      <alignment horizontal="center" textRotation="0" vertical="center"/>
    </xf>
    <xf borderId="346" fillId="45" fontId="71" numFmtId="0" xfId="0" applyAlignment="1" applyBorder="1" applyFont="1">
      <alignment horizontal="center" vertical="center"/>
    </xf>
    <xf borderId="346" fillId="13" fontId="71" numFmtId="0" xfId="0" applyAlignment="1" applyBorder="1" applyFont="1">
      <alignment horizontal="center" vertical="center"/>
    </xf>
    <xf borderId="347" fillId="23" fontId="109" numFmtId="0" xfId="0" applyAlignment="1" applyBorder="1" applyFont="1">
      <alignment horizontal="center" readingOrder="0" vertical="center"/>
    </xf>
    <xf borderId="348" fillId="21" fontId="110" numFmtId="0" xfId="0" applyAlignment="1" applyBorder="1" applyFont="1">
      <alignment horizontal="center" readingOrder="0" vertical="center"/>
    </xf>
    <xf borderId="349" fillId="0" fontId="111" numFmtId="0" xfId="0" applyAlignment="1" applyBorder="1" applyFont="1">
      <alignment horizontal="center" readingOrder="0" vertical="center"/>
    </xf>
    <xf borderId="350" fillId="44" fontId="112" numFmtId="0" xfId="0" applyAlignment="1" applyBorder="1" applyFont="1">
      <alignment horizontal="center" readingOrder="0" vertical="center"/>
    </xf>
    <xf borderId="349" fillId="17" fontId="113" numFmtId="0" xfId="0" applyAlignment="1" applyBorder="1" applyFont="1">
      <alignment horizontal="center" readingOrder="0" textRotation="0" vertical="center"/>
    </xf>
    <xf borderId="350" fillId="46" fontId="71" numFmtId="0" xfId="0" applyAlignment="1" applyBorder="1" applyFont="1">
      <alignment horizontal="center" vertical="center"/>
    </xf>
    <xf borderId="286" fillId="4" fontId="114" numFmtId="0" xfId="0" applyAlignment="1" applyBorder="1" applyFont="1">
      <alignment horizontal="center" readingOrder="0" vertical="center"/>
    </xf>
    <xf borderId="285" fillId="23" fontId="115" numFmtId="0" xfId="0" applyAlignment="1" applyBorder="1" applyFont="1">
      <alignment horizontal="center" readingOrder="0" vertical="center"/>
    </xf>
    <xf borderId="351" fillId="21" fontId="116" numFmtId="0" xfId="0" applyAlignment="1" applyBorder="1" applyFont="1">
      <alignment horizontal="center" readingOrder="0" vertical="center"/>
    </xf>
    <xf borderId="352" fillId="0" fontId="71" numFmtId="0" xfId="0" applyAlignment="1" applyBorder="1" applyFont="1">
      <alignment horizontal="center" readingOrder="0" vertical="center"/>
    </xf>
    <xf borderId="351" fillId="44" fontId="117" numFmtId="0" xfId="0" applyAlignment="1" applyBorder="1" applyFont="1">
      <alignment horizontal="center" readingOrder="0" vertical="center"/>
    </xf>
    <xf borderId="352" fillId="17" fontId="118" numFmtId="0" xfId="0" applyAlignment="1" applyBorder="1" applyFont="1">
      <alignment horizontal="center" readingOrder="0" textRotation="0" vertical="center"/>
    </xf>
    <xf borderId="351" fillId="46" fontId="71" numFmtId="0" xfId="0" applyAlignment="1" applyBorder="1" applyFont="1">
      <alignment horizontal="center" vertical="center"/>
    </xf>
    <xf borderId="353" fillId="4" fontId="71" numFmtId="0" xfId="0" applyAlignment="1" applyBorder="1" applyFont="1">
      <alignment horizontal="center" vertical="center"/>
    </xf>
    <xf borderId="347" fillId="23" fontId="71" numFmtId="0" xfId="0" applyAlignment="1" applyBorder="1" applyFont="1">
      <alignment horizontal="center" vertical="center"/>
    </xf>
    <xf borderId="351" fillId="21" fontId="71" numFmtId="0" xfId="0" applyAlignment="1" applyBorder="1" applyFont="1">
      <alignment horizontal="center" vertical="center"/>
    </xf>
    <xf borderId="352" fillId="0" fontId="71" numFmtId="0" xfId="0" applyAlignment="1" applyBorder="1" applyFont="1">
      <alignment horizontal="center" vertical="center"/>
    </xf>
    <xf borderId="353" fillId="4" fontId="119" numFmtId="0" xfId="0" applyAlignment="1" applyBorder="1" applyFont="1">
      <alignment horizontal="center" readingOrder="0" vertical="center"/>
    </xf>
    <xf borderId="351" fillId="44" fontId="120" numFmtId="0" xfId="0" applyAlignment="1" applyBorder="1" applyFont="1">
      <alignment horizontal="center" vertical="center"/>
    </xf>
    <xf borderId="353" fillId="4" fontId="71" numFmtId="0" xfId="0" applyAlignment="1" applyBorder="1" applyFont="1">
      <alignment horizontal="center" readingOrder="0" vertical="center"/>
    </xf>
    <xf borderId="351" fillId="44" fontId="71" numFmtId="0" xfId="0" applyAlignment="1" applyBorder="1" applyFont="1">
      <alignment horizontal="center" vertical="center"/>
    </xf>
    <xf borderId="352" fillId="17" fontId="71" numFmtId="0" xfId="0" applyAlignment="1" applyBorder="1" applyFont="1">
      <alignment horizontal="center" vertical="center"/>
    </xf>
    <xf borderId="347" fillId="23" fontId="71" numFmtId="0" xfId="0" applyAlignment="1" applyBorder="1" applyFont="1">
      <alignment horizontal="center" readingOrder="0" vertical="center"/>
    </xf>
    <xf borderId="351" fillId="46" fontId="71" numFmtId="0" xfId="0" applyAlignment="1" applyBorder="1" applyFont="1">
      <alignment horizontal="center" readingOrder="0" vertical="center"/>
    </xf>
    <xf borderId="352" fillId="17" fontId="71" numFmtId="0" xfId="0" applyAlignment="1" applyBorder="1" applyFont="1">
      <alignment horizontal="center" readingOrder="0" textRotation="0" vertical="center"/>
    </xf>
    <xf borderId="280" fillId="23" fontId="71" numFmtId="0" xfId="0" applyAlignment="1" applyBorder="1" applyFont="1">
      <alignment horizontal="center" vertical="center"/>
    </xf>
    <xf borderId="354" fillId="21" fontId="71" numFmtId="0" xfId="0" applyAlignment="1" applyBorder="1" applyFont="1">
      <alignment horizontal="center" vertical="center"/>
    </xf>
    <xf borderId="355" fillId="0" fontId="71" numFmtId="0" xfId="0" applyAlignment="1" applyBorder="1" applyFont="1">
      <alignment horizontal="center" vertical="center"/>
    </xf>
    <xf borderId="354" fillId="44" fontId="71" numFmtId="0" xfId="0" applyAlignment="1" applyBorder="1" applyFont="1">
      <alignment horizontal="center" vertical="center"/>
    </xf>
    <xf borderId="355" fillId="17" fontId="71" numFmtId="0" xfId="0" applyAlignment="1" applyBorder="1" applyFont="1">
      <alignment horizontal="center" vertical="center"/>
    </xf>
    <xf borderId="354" fillId="46" fontId="71" numFmtId="0" xfId="0" applyAlignment="1" applyBorder="1" applyFont="1">
      <alignment horizontal="center" vertical="center"/>
    </xf>
    <xf borderId="281" fillId="4" fontId="71" numFmtId="0" xfId="0" applyAlignment="1" applyBorder="1" applyFont="1">
      <alignment horizontal="center" vertical="center"/>
    </xf>
    <xf borderId="346" fillId="23" fontId="71" numFmtId="0" xfId="0" applyAlignment="1" applyBorder="1" applyFont="1">
      <alignment horizontal="center" vertical="center"/>
    </xf>
    <xf borderId="346" fillId="21" fontId="71" numFmtId="0" xfId="0" applyAlignment="1" applyBorder="1" applyFont="1">
      <alignment horizontal="center" vertical="center"/>
    </xf>
    <xf borderId="346" fillId="0" fontId="71" numFmtId="0" xfId="0" applyAlignment="1" applyBorder="1" applyFont="1">
      <alignment horizontal="center" vertical="center"/>
    </xf>
    <xf borderId="346" fillId="44" fontId="71" numFmtId="0" xfId="0" applyAlignment="1" applyBorder="1" applyFont="1">
      <alignment horizontal="center" vertical="center"/>
    </xf>
    <xf borderId="346" fillId="17" fontId="71" numFmtId="0" xfId="0" applyAlignment="1" applyBorder="1" applyFont="1">
      <alignment horizontal="center" vertical="center"/>
    </xf>
    <xf borderId="346" fillId="46" fontId="71" numFmtId="0" xfId="0" applyAlignment="1" applyBorder="1" applyFont="1">
      <alignment horizontal="center" vertical="center"/>
    </xf>
    <xf borderId="346" fillId="4" fontId="71" numFmtId="0" xfId="0" applyAlignment="1" applyBorder="1" applyFont="1">
      <alignment horizontal="center" vertical="center"/>
    </xf>
  </cellXfs>
  <cellStyles count="1">
    <cellStyle xfId="0" name="Normal" builtinId="0"/>
  </cellStyles>
  <dxfs count="15">
    <dxf>
      <font/>
      <fill>
        <patternFill patternType="none"/>
      </fill>
      <border/>
    </dxf>
    <dxf>
      <font/>
      <fill>
        <patternFill patternType="solid">
          <fgColor rgb="FF9B3642"/>
          <bgColor rgb="FF9B3642"/>
        </patternFill>
      </fill>
      <border/>
    </dxf>
    <dxf>
      <font/>
      <fill>
        <patternFill patternType="solid">
          <fgColor rgb="FFFFFFFF"/>
          <bgColor rgb="FFFFFFFF"/>
        </patternFill>
      </fill>
      <border/>
    </dxf>
    <dxf>
      <font/>
      <fill>
        <patternFill patternType="solid">
          <fgColor rgb="FFF8F9FA"/>
          <bgColor rgb="FFF8F9FA"/>
        </patternFill>
      </fill>
      <border/>
    </dxf>
    <dxf>
      <border>
        <left style="thin">
          <color rgb="FF9B3642"/>
        </left>
        <right style="thin">
          <color rgb="FF9B3642"/>
        </right>
        <top style="thin">
          <color rgb="FF9B3642"/>
        </top>
        <bottom style="thin">
          <color rgb="FF9B3642"/>
        </bottom>
      </border>
    </dxf>
    <dxf>
      <font/>
      <fill>
        <patternFill patternType="solid">
          <fgColor rgb="FF000000"/>
          <bgColor rgb="FF000000"/>
        </patternFill>
      </fill>
      <border/>
    </dxf>
    <dxf>
      <font/>
      <fill>
        <patternFill patternType="solid">
          <fgColor rgb="FFF6F8F9"/>
          <bgColor rgb="FFF6F8F9"/>
        </patternFill>
      </fill>
      <border/>
    </dxf>
    <dxf>
      <font/>
      <fill>
        <patternFill patternType="solid">
          <fgColor rgb="FFBB463C"/>
          <bgColor rgb="FFBB463C"/>
        </patternFill>
      </fill>
      <border/>
    </dxf>
    <dxf>
      <font/>
      <fill>
        <patternFill patternType="none"/>
      </fill>
      <border/>
    </dxf>
    <dxf>
      <font/>
      <fill>
        <patternFill patternType="solid">
          <fgColor rgb="FFFFFFFF"/>
          <bgColor rgb="FFFFFFFF"/>
        </patternFill>
      </fill>
      <border/>
    </dxf>
    <dxf>
      <font/>
      <fill>
        <patternFill patternType="solid">
          <fgColor rgb="FFFF9404"/>
          <bgColor rgb="FFFF9404"/>
        </patternFill>
      </fill>
      <border/>
    </dxf>
    <dxf>
      <font/>
      <fill>
        <patternFill patternType="solid">
          <fgColor rgb="FF393939"/>
          <bgColor rgb="FF393939"/>
        </patternFill>
      </fill>
      <border/>
    </dxf>
    <dxf>
      <font/>
      <fill>
        <patternFill patternType="solid">
          <fgColor rgb="FF5B3F86"/>
          <bgColor rgb="FF5B3F86"/>
        </patternFill>
      </fill>
      <border/>
    </dxf>
    <dxf>
      <font/>
      <fill>
        <patternFill patternType="solid">
          <fgColor rgb="FF356854"/>
          <bgColor rgb="FF356854"/>
        </patternFill>
      </fill>
      <border/>
    </dxf>
    <dxf>
      <font/>
      <fill>
        <patternFill patternType="solid">
          <fgColor rgb="FF535FC1"/>
          <bgColor rgb="FF535FC1"/>
        </patternFill>
      </fill>
      <border/>
    </dxf>
  </dxfs>
  <tableStyles count="9">
    <tableStyle count="4" pivot="0" name="ЭФФЕКТИВНОСТЬ-style">
      <tableStyleElement dxfId="1" type="headerRow"/>
      <tableStyleElement dxfId="2" type="firstRowStripe"/>
      <tableStyleElement dxfId="3" type="secondRowStripe"/>
      <tableStyleElement dxfId="4" size="0" type="wholeTable"/>
    </tableStyle>
    <tableStyle count="4" pivot="0" name="ДПСДПМ-style">
      <tableStyleElement dxfId="5" type="headerRow"/>
      <tableStyleElement dxfId="2" type="firstRowStripe"/>
      <tableStyleElement dxfId="6" type="secondRowStripe"/>
      <tableStyleElement dxfId="4" size="0" type="wholeTable"/>
    </tableStyle>
    <tableStyle count="4" pivot="0" name="КОСТ-style">
      <tableStyleElement dxfId="7" type="headerRow"/>
      <tableStyleElement dxfId="2" type="firstRowStripe"/>
      <tableStyleElement dxfId="6" type="secondRowStripe"/>
      <tableStyleElement dxfId="4" size="0" type="wholeTable"/>
    </tableStyle>
    <tableStyle count="4" pivot="0" name="АРТЕФАКТЫ-style">
      <tableStyleElement dxfId="10" type="headerRow"/>
      <tableStyleElement dxfId="2" type="firstRowStripe"/>
      <tableStyleElement dxfId="6" type="secondRowStripe"/>
      <tableStyleElement dxfId="4" size="0" type="wholeTable"/>
    </tableStyle>
    <tableStyle count="4" pivot="0" name="ОРУЖИЕ-style">
      <tableStyleElement dxfId="11" type="headerRow"/>
      <tableStyleElement dxfId="2" type="firstRowStripe"/>
      <tableStyleElement dxfId="6" type="secondRowStripe"/>
      <tableStyleElement dxfId="4" size="0" type="wholeTable"/>
    </tableStyle>
    <tableStyle count="4" pivot="0" name="ОРУЖИЕ-style 2">
      <tableStyleElement dxfId="12" type="headerRow"/>
      <tableStyleElement dxfId="2" type="firstRowStripe"/>
      <tableStyleElement dxfId="6" type="secondRowStripe"/>
      <tableStyleElement dxfId="4" size="0" type="wholeTable"/>
    </tableStyle>
    <tableStyle count="4" pivot="0" name="ОРУЖИЕ-style 3">
      <tableStyleElement dxfId="13" type="headerRow"/>
      <tableStyleElement dxfId="2" type="firstRowStripe"/>
      <tableStyleElement dxfId="6" type="secondRowStripe"/>
      <tableStyleElement dxfId="4" size="0" type="wholeTable"/>
    </tableStyle>
    <tableStyle count="4" pivot="0" name="ОРУЖИЕ-style 4">
      <tableStyleElement dxfId="14" type="headerRow"/>
      <tableStyleElement dxfId="2" type="firstRowStripe"/>
      <tableStyleElement dxfId="6" type="secondRowStripe"/>
      <tableStyleElement dxfId="4" size="0" type="wholeTable"/>
    </tableStyle>
    <tableStyle count="4" pivot="0" name="ОРУЖИЕ-style 5">
      <tableStyleElement dxfId="1" type="headerRow"/>
      <tableStyleElement dxfId="2" type="firstRowStripe"/>
      <tableStyleElement dxfId="6" type="secondRowStripe"/>
      <tableStyleElement dxfId="4" size="0" type="wholeTabl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jp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24.jpg"/><Relationship Id="rId6" Type="http://schemas.openxmlformats.org/officeDocument/2006/relationships/image" Target="../media/image5.jpg"/><Relationship Id="rId7" Type="http://schemas.openxmlformats.org/officeDocument/2006/relationships/image" Target="../media/image2.png"/></Relationships>
</file>

<file path=xl/drawings/_rels/drawing3.xml.rels><?xml version="1.0" encoding="UTF-8" standalone="yes"?><Relationships xmlns="http://schemas.openxmlformats.org/package/2006/relationships"><Relationship Id="rId40" Type="http://schemas.openxmlformats.org/officeDocument/2006/relationships/image" Target="../media/image47.png"/><Relationship Id="rId42" Type="http://schemas.openxmlformats.org/officeDocument/2006/relationships/image" Target="../media/image50.png"/><Relationship Id="rId41" Type="http://schemas.openxmlformats.org/officeDocument/2006/relationships/image" Target="../media/image49.png"/><Relationship Id="rId44" Type="http://schemas.openxmlformats.org/officeDocument/2006/relationships/image" Target="../media/image57.png"/><Relationship Id="rId43" Type="http://schemas.openxmlformats.org/officeDocument/2006/relationships/image" Target="../media/image61.png"/><Relationship Id="rId46" Type="http://schemas.openxmlformats.org/officeDocument/2006/relationships/image" Target="../media/image56.png"/><Relationship Id="rId45" Type="http://schemas.openxmlformats.org/officeDocument/2006/relationships/image" Target="../media/image59.png"/><Relationship Id="rId1" Type="http://schemas.openxmlformats.org/officeDocument/2006/relationships/image" Target="../media/image23.png"/><Relationship Id="rId2" Type="http://schemas.openxmlformats.org/officeDocument/2006/relationships/image" Target="../media/image11.png"/><Relationship Id="rId3" Type="http://schemas.openxmlformats.org/officeDocument/2006/relationships/image" Target="../media/image16.png"/><Relationship Id="rId4" Type="http://schemas.openxmlformats.org/officeDocument/2006/relationships/image" Target="../media/image9.png"/><Relationship Id="rId9" Type="http://schemas.openxmlformats.org/officeDocument/2006/relationships/image" Target="../media/image26.png"/><Relationship Id="rId48" Type="http://schemas.openxmlformats.org/officeDocument/2006/relationships/image" Target="../media/image58.png"/><Relationship Id="rId47" Type="http://schemas.openxmlformats.org/officeDocument/2006/relationships/image" Target="../media/image55.png"/><Relationship Id="rId49" Type="http://schemas.openxmlformats.org/officeDocument/2006/relationships/image" Target="../media/image51.png"/><Relationship Id="rId5" Type="http://schemas.openxmlformats.org/officeDocument/2006/relationships/image" Target="../media/image17.png"/><Relationship Id="rId6" Type="http://schemas.openxmlformats.org/officeDocument/2006/relationships/image" Target="../media/image15.png"/><Relationship Id="rId7" Type="http://schemas.openxmlformats.org/officeDocument/2006/relationships/image" Target="../media/image10.png"/><Relationship Id="rId8" Type="http://schemas.openxmlformats.org/officeDocument/2006/relationships/image" Target="../media/image30.png"/><Relationship Id="rId31" Type="http://schemas.openxmlformats.org/officeDocument/2006/relationships/image" Target="../media/image42.png"/><Relationship Id="rId30" Type="http://schemas.openxmlformats.org/officeDocument/2006/relationships/image" Target="../media/image43.png"/><Relationship Id="rId33" Type="http://schemas.openxmlformats.org/officeDocument/2006/relationships/image" Target="../media/image41.png"/><Relationship Id="rId32" Type="http://schemas.openxmlformats.org/officeDocument/2006/relationships/image" Target="../media/image38.png"/><Relationship Id="rId35" Type="http://schemas.openxmlformats.org/officeDocument/2006/relationships/image" Target="../media/image44.png"/><Relationship Id="rId34" Type="http://schemas.openxmlformats.org/officeDocument/2006/relationships/image" Target="../media/image39.png"/><Relationship Id="rId37" Type="http://schemas.openxmlformats.org/officeDocument/2006/relationships/image" Target="../media/image46.png"/><Relationship Id="rId36" Type="http://schemas.openxmlformats.org/officeDocument/2006/relationships/image" Target="../media/image45.png"/><Relationship Id="rId39" Type="http://schemas.openxmlformats.org/officeDocument/2006/relationships/image" Target="../media/image52.png"/><Relationship Id="rId38" Type="http://schemas.openxmlformats.org/officeDocument/2006/relationships/image" Target="../media/image53.png"/><Relationship Id="rId20" Type="http://schemas.openxmlformats.org/officeDocument/2006/relationships/image" Target="../media/image22.png"/><Relationship Id="rId22" Type="http://schemas.openxmlformats.org/officeDocument/2006/relationships/image" Target="../media/image35.png"/><Relationship Id="rId21" Type="http://schemas.openxmlformats.org/officeDocument/2006/relationships/image" Target="../media/image21.png"/><Relationship Id="rId24" Type="http://schemas.openxmlformats.org/officeDocument/2006/relationships/image" Target="../media/image31.png"/><Relationship Id="rId23" Type="http://schemas.openxmlformats.org/officeDocument/2006/relationships/image" Target="../media/image36.png"/><Relationship Id="rId26" Type="http://schemas.openxmlformats.org/officeDocument/2006/relationships/image" Target="../media/image34.png"/><Relationship Id="rId25" Type="http://schemas.openxmlformats.org/officeDocument/2006/relationships/image" Target="../media/image32.png"/><Relationship Id="rId28" Type="http://schemas.openxmlformats.org/officeDocument/2006/relationships/image" Target="../media/image33.png"/><Relationship Id="rId27" Type="http://schemas.openxmlformats.org/officeDocument/2006/relationships/image" Target="../media/image40.png"/><Relationship Id="rId29" Type="http://schemas.openxmlformats.org/officeDocument/2006/relationships/image" Target="../media/image37.png"/><Relationship Id="rId51" Type="http://schemas.openxmlformats.org/officeDocument/2006/relationships/image" Target="../media/image62.png"/><Relationship Id="rId50" Type="http://schemas.openxmlformats.org/officeDocument/2006/relationships/image" Target="../media/image54.png"/><Relationship Id="rId53" Type="http://schemas.openxmlformats.org/officeDocument/2006/relationships/image" Target="../media/image63.png"/><Relationship Id="rId52" Type="http://schemas.openxmlformats.org/officeDocument/2006/relationships/image" Target="../media/image60.png"/><Relationship Id="rId11" Type="http://schemas.openxmlformats.org/officeDocument/2006/relationships/image" Target="../media/image14.png"/><Relationship Id="rId55" Type="http://schemas.openxmlformats.org/officeDocument/2006/relationships/image" Target="../media/image66.png"/><Relationship Id="rId10" Type="http://schemas.openxmlformats.org/officeDocument/2006/relationships/image" Target="../media/image25.png"/><Relationship Id="rId54" Type="http://schemas.openxmlformats.org/officeDocument/2006/relationships/image" Target="../media/image64.png"/><Relationship Id="rId13" Type="http://schemas.openxmlformats.org/officeDocument/2006/relationships/image" Target="../media/image12.png"/><Relationship Id="rId57" Type="http://schemas.openxmlformats.org/officeDocument/2006/relationships/image" Target="../media/image77.png"/><Relationship Id="rId12" Type="http://schemas.openxmlformats.org/officeDocument/2006/relationships/image" Target="../media/image18.png"/><Relationship Id="rId56" Type="http://schemas.openxmlformats.org/officeDocument/2006/relationships/image" Target="../media/image69.png"/><Relationship Id="rId15" Type="http://schemas.openxmlformats.org/officeDocument/2006/relationships/image" Target="../media/image27.png"/><Relationship Id="rId14" Type="http://schemas.openxmlformats.org/officeDocument/2006/relationships/image" Target="../media/image13.png"/><Relationship Id="rId17" Type="http://schemas.openxmlformats.org/officeDocument/2006/relationships/image" Target="../media/image19.png"/><Relationship Id="rId16" Type="http://schemas.openxmlformats.org/officeDocument/2006/relationships/image" Target="../media/image8.png"/><Relationship Id="rId19" Type="http://schemas.openxmlformats.org/officeDocument/2006/relationships/image" Target="../media/image28.png"/><Relationship Id="rId18" Type="http://schemas.openxmlformats.org/officeDocument/2006/relationships/image" Target="../media/image108.png"/></Relationships>
</file>

<file path=xl/drawings/_rels/drawing4.xml.rels><?xml version="1.0" encoding="UTF-8" standalone="yes"?><Relationships xmlns="http://schemas.openxmlformats.org/package/2006/relationships"><Relationship Id="rId40" Type="http://schemas.openxmlformats.org/officeDocument/2006/relationships/image" Target="../media/image11.png"/><Relationship Id="rId42" Type="http://schemas.openxmlformats.org/officeDocument/2006/relationships/image" Target="../media/image58.png"/><Relationship Id="rId41" Type="http://schemas.openxmlformats.org/officeDocument/2006/relationships/image" Target="../media/image50.png"/><Relationship Id="rId44" Type="http://schemas.openxmlformats.org/officeDocument/2006/relationships/image" Target="../media/image30.png"/><Relationship Id="rId43" Type="http://schemas.openxmlformats.org/officeDocument/2006/relationships/image" Target="../media/image64.png"/><Relationship Id="rId46" Type="http://schemas.openxmlformats.org/officeDocument/2006/relationships/image" Target="../media/image44.png"/><Relationship Id="rId45" Type="http://schemas.openxmlformats.org/officeDocument/2006/relationships/image" Target="../media/image112.png"/><Relationship Id="rId107" Type="http://schemas.openxmlformats.org/officeDocument/2006/relationships/image" Target="../media/image172.png"/><Relationship Id="rId106" Type="http://schemas.openxmlformats.org/officeDocument/2006/relationships/image" Target="../media/image26.png"/><Relationship Id="rId105" Type="http://schemas.openxmlformats.org/officeDocument/2006/relationships/image" Target="../media/image170.png"/><Relationship Id="rId104" Type="http://schemas.openxmlformats.org/officeDocument/2006/relationships/image" Target="../media/image41.png"/><Relationship Id="rId108" Type="http://schemas.openxmlformats.org/officeDocument/2006/relationships/image" Target="../media/image184.png"/><Relationship Id="rId48" Type="http://schemas.openxmlformats.org/officeDocument/2006/relationships/image" Target="../media/image49.png"/><Relationship Id="rId47" Type="http://schemas.openxmlformats.org/officeDocument/2006/relationships/image" Target="../media/image113.png"/><Relationship Id="rId49" Type="http://schemas.openxmlformats.org/officeDocument/2006/relationships/image" Target="../media/image36.png"/><Relationship Id="rId103" Type="http://schemas.openxmlformats.org/officeDocument/2006/relationships/image" Target="../media/image14.png"/><Relationship Id="rId102" Type="http://schemas.openxmlformats.org/officeDocument/2006/relationships/image" Target="../media/image169.png"/><Relationship Id="rId101" Type="http://schemas.openxmlformats.org/officeDocument/2006/relationships/image" Target="../media/image178.png"/><Relationship Id="rId100" Type="http://schemas.openxmlformats.org/officeDocument/2006/relationships/image" Target="../media/image171.png"/><Relationship Id="rId31" Type="http://schemas.openxmlformats.org/officeDocument/2006/relationships/image" Target="../media/image18.png"/><Relationship Id="rId30" Type="http://schemas.openxmlformats.org/officeDocument/2006/relationships/image" Target="../media/image37.png"/><Relationship Id="rId33" Type="http://schemas.openxmlformats.org/officeDocument/2006/relationships/image" Target="../media/image63.png"/><Relationship Id="rId32" Type="http://schemas.openxmlformats.org/officeDocument/2006/relationships/image" Target="../media/image94.png"/><Relationship Id="rId35" Type="http://schemas.openxmlformats.org/officeDocument/2006/relationships/image" Target="../media/image61.png"/><Relationship Id="rId34" Type="http://schemas.openxmlformats.org/officeDocument/2006/relationships/image" Target="../media/image110.png"/><Relationship Id="rId37" Type="http://schemas.openxmlformats.org/officeDocument/2006/relationships/image" Target="../media/image51.png"/><Relationship Id="rId36" Type="http://schemas.openxmlformats.org/officeDocument/2006/relationships/image" Target="../media/image100.png"/><Relationship Id="rId39" Type="http://schemas.openxmlformats.org/officeDocument/2006/relationships/image" Target="../media/image109.png"/><Relationship Id="rId38" Type="http://schemas.openxmlformats.org/officeDocument/2006/relationships/image" Target="../media/image47.png"/><Relationship Id="rId20" Type="http://schemas.openxmlformats.org/officeDocument/2006/relationships/image" Target="../media/image77.png"/><Relationship Id="rId22" Type="http://schemas.openxmlformats.org/officeDocument/2006/relationships/image" Target="../media/image46.png"/><Relationship Id="rId21" Type="http://schemas.openxmlformats.org/officeDocument/2006/relationships/image" Target="../media/image40.png"/><Relationship Id="rId24" Type="http://schemas.openxmlformats.org/officeDocument/2006/relationships/image" Target="../media/image38.png"/><Relationship Id="rId23" Type="http://schemas.openxmlformats.org/officeDocument/2006/relationships/image" Target="../media/image52.png"/><Relationship Id="rId26" Type="http://schemas.openxmlformats.org/officeDocument/2006/relationships/image" Target="../media/image21.png"/><Relationship Id="rId25" Type="http://schemas.openxmlformats.org/officeDocument/2006/relationships/image" Target="../media/image92.png"/><Relationship Id="rId28" Type="http://schemas.openxmlformats.org/officeDocument/2006/relationships/image" Target="../media/image42.png"/><Relationship Id="rId27" Type="http://schemas.openxmlformats.org/officeDocument/2006/relationships/image" Target="../media/image62.png"/><Relationship Id="rId29" Type="http://schemas.openxmlformats.org/officeDocument/2006/relationships/image" Target="../media/image108.png"/><Relationship Id="rId95" Type="http://schemas.openxmlformats.org/officeDocument/2006/relationships/image" Target="../media/image163.png"/><Relationship Id="rId94" Type="http://schemas.openxmlformats.org/officeDocument/2006/relationships/image" Target="../media/image162.png"/><Relationship Id="rId97" Type="http://schemas.openxmlformats.org/officeDocument/2006/relationships/image" Target="../media/image174.png"/><Relationship Id="rId96" Type="http://schemas.openxmlformats.org/officeDocument/2006/relationships/image" Target="../media/image165.png"/><Relationship Id="rId11" Type="http://schemas.openxmlformats.org/officeDocument/2006/relationships/image" Target="../media/image35.png"/><Relationship Id="rId99" Type="http://schemas.openxmlformats.org/officeDocument/2006/relationships/image" Target="../media/image167.png"/><Relationship Id="rId10" Type="http://schemas.openxmlformats.org/officeDocument/2006/relationships/image" Target="../media/image32.png"/><Relationship Id="rId98" Type="http://schemas.openxmlformats.org/officeDocument/2006/relationships/image" Target="../media/image175.png"/><Relationship Id="rId13" Type="http://schemas.openxmlformats.org/officeDocument/2006/relationships/image" Target="../media/image8.png"/><Relationship Id="rId12" Type="http://schemas.openxmlformats.org/officeDocument/2006/relationships/image" Target="../media/image43.png"/><Relationship Id="rId91" Type="http://schemas.openxmlformats.org/officeDocument/2006/relationships/image" Target="../media/image160.png"/><Relationship Id="rId90" Type="http://schemas.openxmlformats.org/officeDocument/2006/relationships/image" Target="../media/image159.png"/><Relationship Id="rId93" Type="http://schemas.openxmlformats.org/officeDocument/2006/relationships/image" Target="../media/image161.png"/><Relationship Id="rId92" Type="http://schemas.openxmlformats.org/officeDocument/2006/relationships/image" Target="../media/image25.png"/><Relationship Id="rId15" Type="http://schemas.openxmlformats.org/officeDocument/2006/relationships/image" Target="../media/image16.png"/><Relationship Id="rId14" Type="http://schemas.openxmlformats.org/officeDocument/2006/relationships/image" Target="../media/image69.png"/><Relationship Id="rId17" Type="http://schemas.openxmlformats.org/officeDocument/2006/relationships/image" Target="../media/image28.png"/><Relationship Id="rId16" Type="http://schemas.openxmlformats.org/officeDocument/2006/relationships/image" Target="../media/image54.png"/><Relationship Id="rId19" Type="http://schemas.openxmlformats.org/officeDocument/2006/relationships/image" Target="../media/image53.png"/><Relationship Id="rId18" Type="http://schemas.openxmlformats.org/officeDocument/2006/relationships/image" Target="../media/image9.png"/><Relationship Id="rId84" Type="http://schemas.openxmlformats.org/officeDocument/2006/relationships/image" Target="../media/image146.png"/><Relationship Id="rId83" Type="http://schemas.openxmlformats.org/officeDocument/2006/relationships/image" Target="../media/image154.png"/><Relationship Id="rId86" Type="http://schemas.openxmlformats.org/officeDocument/2006/relationships/image" Target="../media/image152.png"/><Relationship Id="rId85" Type="http://schemas.openxmlformats.org/officeDocument/2006/relationships/image" Target="../media/image166.png"/><Relationship Id="rId88" Type="http://schemas.openxmlformats.org/officeDocument/2006/relationships/image" Target="../media/image153.png"/><Relationship Id="rId87" Type="http://schemas.openxmlformats.org/officeDocument/2006/relationships/image" Target="../media/image157.png"/><Relationship Id="rId89" Type="http://schemas.openxmlformats.org/officeDocument/2006/relationships/image" Target="../media/image155.png"/><Relationship Id="rId80" Type="http://schemas.openxmlformats.org/officeDocument/2006/relationships/image" Target="../media/image150.png"/><Relationship Id="rId82" Type="http://schemas.openxmlformats.org/officeDocument/2006/relationships/image" Target="../media/image39.png"/><Relationship Id="rId81" Type="http://schemas.openxmlformats.org/officeDocument/2006/relationships/image" Target="../media/image156.png"/><Relationship Id="rId1" Type="http://schemas.openxmlformats.org/officeDocument/2006/relationships/image" Target="../media/image23.png"/><Relationship Id="rId2" Type="http://schemas.openxmlformats.org/officeDocument/2006/relationships/image" Target="../media/image22.png"/><Relationship Id="rId3" Type="http://schemas.openxmlformats.org/officeDocument/2006/relationships/image" Target="../media/image10.png"/><Relationship Id="rId4" Type="http://schemas.openxmlformats.org/officeDocument/2006/relationships/image" Target="../media/image17.png"/><Relationship Id="rId9" Type="http://schemas.openxmlformats.org/officeDocument/2006/relationships/image" Target="../media/image12.png"/><Relationship Id="rId5" Type="http://schemas.openxmlformats.org/officeDocument/2006/relationships/image" Target="../media/image15.png"/><Relationship Id="rId6" Type="http://schemas.openxmlformats.org/officeDocument/2006/relationships/image" Target="../media/image34.png"/><Relationship Id="rId7" Type="http://schemas.openxmlformats.org/officeDocument/2006/relationships/image" Target="../media/image27.png"/><Relationship Id="rId8" Type="http://schemas.openxmlformats.org/officeDocument/2006/relationships/image" Target="../media/image31.png"/><Relationship Id="rId73" Type="http://schemas.openxmlformats.org/officeDocument/2006/relationships/image" Target="../media/image158.png"/><Relationship Id="rId72" Type="http://schemas.openxmlformats.org/officeDocument/2006/relationships/image" Target="../media/image56.png"/><Relationship Id="rId75" Type="http://schemas.openxmlformats.org/officeDocument/2006/relationships/image" Target="../media/image55.png"/><Relationship Id="rId74" Type="http://schemas.openxmlformats.org/officeDocument/2006/relationships/image" Target="../media/image59.png"/><Relationship Id="rId77" Type="http://schemas.openxmlformats.org/officeDocument/2006/relationships/image" Target="../media/image148.png"/><Relationship Id="rId76" Type="http://schemas.openxmlformats.org/officeDocument/2006/relationships/image" Target="../media/image144.png"/><Relationship Id="rId79" Type="http://schemas.openxmlformats.org/officeDocument/2006/relationships/image" Target="../media/image143.png"/><Relationship Id="rId78" Type="http://schemas.openxmlformats.org/officeDocument/2006/relationships/image" Target="../media/image149.png"/><Relationship Id="rId71" Type="http://schemas.openxmlformats.org/officeDocument/2006/relationships/image" Target="../media/image136.png"/><Relationship Id="rId70" Type="http://schemas.openxmlformats.org/officeDocument/2006/relationships/image" Target="../media/image57.png"/><Relationship Id="rId62" Type="http://schemas.openxmlformats.org/officeDocument/2006/relationships/image" Target="../media/image13.png"/><Relationship Id="rId61" Type="http://schemas.openxmlformats.org/officeDocument/2006/relationships/image" Target="../media/image125.png"/><Relationship Id="rId64" Type="http://schemas.openxmlformats.org/officeDocument/2006/relationships/image" Target="../media/image127.png"/><Relationship Id="rId63" Type="http://schemas.openxmlformats.org/officeDocument/2006/relationships/image" Target="../media/image128.png"/><Relationship Id="rId66" Type="http://schemas.openxmlformats.org/officeDocument/2006/relationships/image" Target="../media/image33.png"/><Relationship Id="rId65" Type="http://schemas.openxmlformats.org/officeDocument/2006/relationships/image" Target="../media/image129.png"/><Relationship Id="rId68" Type="http://schemas.openxmlformats.org/officeDocument/2006/relationships/image" Target="../media/image133.png"/><Relationship Id="rId67" Type="http://schemas.openxmlformats.org/officeDocument/2006/relationships/image" Target="../media/image140.png"/><Relationship Id="rId60" Type="http://schemas.openxmlformats.org/officeDocument/2006/relationships/image" Target="../media/image45.png"/><Relationship Id="rId69" Type="http://schemas.openxmlformats.org/officeDocument/2006/relationships/image" Target="../media/image137.png"/><Relationship Id="rId51" Type="http://schemas.openxmlformats.org/officeDocument/2006/relationships/image" Target="../media/image19.png"/><Relationship Id="rId50" Type="http://schemas.openxmlformats.org/officeDocument/2006/relationships/image" Target="../media/image135.png"/><Relationship Id="rId53" Type="http://schemas.openxmlformats.org/officeDocument/2006/relationships/image" Target="../media/image116.png"/><Relationship Id="rId52" Type="http://schemas.openxmlformats.org/officeDocument/2006/relationships/image" Target="../media/image60.png"/><Relationship Id="rId55" Type="http://schemas.openxmlformats.org/officeDocument/2006/relationships/image" Target="../media/image121.png"/><Relationship Id="rId54" Type="http://schemas.openxmlformats.org/officeDocument/2006/relationships/image" Target="../media/image131.png"/><Relationship Id="rId57" Type="http://schemas.openxmlformats.org/officeDocument/2006/relationships/image" Target="../media/image122.png"/><Relationship Id="rId56" Type="http://schemas.openxmlformats.org/officeDocument/2006/relationships/image" Target="../media/image145.png"/><Relationship Id="rId59" Type="http://schemas.openxmlformats.org/officeDocument/2006/relationships/image" Target="../media/image66.png"/><Relationship Id="rId58" Type="http://schemas.openxmlformats.org/officeDocument/2006/relationships/image" Target="../media/image126.png"/></Relationships>
</file>

<file path=xl/drawings/_rels/drawing5.xml.rels><?xml version="1.0" encoding="UTF-8" standalone="yes"?><Relationships xmlns="http://schemas.openxmlformats.org/package/2006/relationships"><Relationship Id="rId40" Type="http://schemas.openxmlformats.org/officeDocument/2006/relationships/image" Target="../media/image21.png"/><Relationship Id="rId42" Type="http://schemas.openxmlformats.org/officeDocument/2006/relationships/image" Target="../media/image69.png"/><Relationship Id="rId41" Type="http://schemas.openxmlformats.org/officeDocument/2006/relationships/image" Target="../media/image174.png"/><Relationship Id="rId44" Type="http://schemas.openxmlformats.org/officeDocument/2006/relationships/image" Target="../media/image8.png"/><Relationship Id="rId43" Type="http://schemas.openxmlformats.org/officeDocument/2006/relationships/image" Target="../media/image170.png"/><Relationship Id="rId46" Type="http://schemas.openxmlformats.org/officeDocument/2006/relationships/image" Target="../media/image77.png"/><Relationship Id="rId45" Type="http://schemas.openxmlformats.org/officeDocument/2006/relationships/image" Target="../media/image34.png"/><Relationship Id="rId107" Type="http://schemas.openxmlformats.org/officeDocument/2006/relationships/image" Target="../media/image27.png"/><Relationship Id="rId106" Type="http://schemas.openxmlformats.org/officeDocument/2006/relationships/image" Target="../media/image55.png"/><Relationship Id="rId105" Type="http://schemas.openxmlformats.org/officeDocument/2006/relationships/image" Target="../media/image160.png"/><Relationship Id="rId104" Type="http://schemas.openxmlformats.org/officeDocument/2006/relationships/image" Target="../media/image12.png"/><Relationship Id="rId108" Type="http://schemas.openxmlformats.org/officeDocument/2006/relationships/image" Target="../media/image18.png"/><Relationship Id="rId48" Type="http://schemas.openxmlformats.org/officeDocument/2006/relationships/image" Target="../media/image62.png"/><Relationship Id="rId47" Type="http://schemas.openxmlformats.org/officeDocument/2006/relationships/image" Target="../media/image125.png"/><Relationship Id="rId49" Type="http://schemas.openxmlformats.org/officeDocument/2006/relationships/image" Target="../media/image148.png"/><Relationship Id="rId103" Type="http://schemas.openxmlformats.org/officeDocument/2006/relationships/image" Target="../media/image59.png"/><Relationship Id="rId102" Type="http://schemas.openxmlformats.org/officeDocument/2006/relationships/image" Target="../media/image158.png"/><Relationship Id="rId101" Type="http://schemas.openxmlformats.org/officeDocument/2006/relationships/image" Target="../media/image110.png"/><Relationship Id="rId100" Type="http://schemas.openxmlformats.org/officeDocument/2006/relationships/image" Target="../media/image137.png"/><Relationship Id="rId31" Type="http://schemas.openxmlformats.org/officeDocument/2006/relationships/image" Target="../media/image145.png"/><Relationship Id="rId30" Type="http://schemas.openxmlformats.org/officeDocument/2006/relationships/image" Target="../media/image94.png"/><Relationship Id="rId33" Type="http://schemas.openxmlformats.org/officeDocument/2006/relationships/image" Target="../media/image37.png"/><Relationship Id="rId32" Type="http://schemas.openxmlformats.org/officeDocument/2006/relationships/image" Target="../media/image53.png"/><Relationship Id="rId35" Type="http://schemas.openxmlformats.org/officeDocument/2006/relationships/image" Target="../media/image128.png"/><Relationship Id="rId34" Type="http://schemas.openxmlformats.org/officeDocument/2006/relationships/image" Target="../media/image171.png"/><Relationship Id="rId37" Type="http://schemas.openxmlformats.org/officeDocument/2006/relationships/image" Target="../media/image109.png"/><Relationship Id="rId36" Type="http://schemas.openxmlformats.org/officeDocument/2006/relationships/image" Target="../media/image14.png"/><Relationship Id="rId39" Type="http://schemas.openxmlformats.org/officeDocument/2006/relationships/image" Target="../media/image219.png"/><Relationship Id="rId38" Type="http://schemas.openxmlformats.org/officeDocument/2006/relationships/image" Target="../media/image167.png"/><Relationship Id="rId20" Type="http://schemas.openxmlformats.org/officeDocument/2006/relationships/image" Target="../media/image11.png"/><Relationship Id="rId22" Type="http://schemas.openxmlformats.org/officeDocument/2006/relationships/image" Target="../media/image122.png"/><Relationship Id="rId21" Type="http://schemas.openxmlformats.org/officeDocument/2006/relationships/image" Target="../media/image121.png"/><Relationship Id="rId24" Type="http://schemas.openxmlformats.org/officeDocument/2006/relationships/image" Target="../media/image100.png"/><Relationship Id="rId23" Type="http://schemas.openxmlformats.org/officeDocument/2006/relationships/image" Target="../media/image155.png"/><Relationship Id="rId26" Type="http://schemas.openxmlformats.org/officeDocument/2006/relationships/image" Target="../media/image169.png"/><Relationship Id="rId25" Type="http://schemas.openxmlformats.org/officeDocument/2006/relationships/image" Target="../media/image36.png"/><Relationship Id="rId28" Type="http://schemas.openxmlformats.org/officeDocument/2006/relationships/image" Target="../media/image23.png"/><Relationship Id="rId27" Type="http://schemas.openxmlformats.org/officeDocument/2006/relationships/image" Target="../media/image61.png"/><Relationship Id="rId29" Type="http://schemas.openxmlformats.org/officeDocument/2006/relationships/image" Target="../media/image165.png"/><Relationship Id="rId95" Type="http://schemas.openxmlformats.org/officeDocument/2006/relationships/image" Target="../media/image161.png"/><Relationship Id="rId94" Type="http://schemas.openxmlformats.org/officeDocument/2006/relationships/image" Target="../media/image51.png"/><Relationship Id="rId97" Type="http://schemas.openxmlformats.org/officeDocument/2006/relationships/image" Target="../media/image42.png"/><Relationship Id="rId96" Type="http://schemas.openxmlformats.org/officeDocument/2006/relationships/image" Target="../media/image126.png"/><Relationship Id="rId11" Type="http://schemas.openxmlformats.org/officeDocument/2006/relationships/image" Target="../media/image9.png"/><Relationship Id="rId99" Type="http://schemas.openxmlformats.org/officeDocument/2006/relationships/image" Target="../media/image113.png"/><Relationship Id="rId10" Type="http://schemas.openxmlformats.org/officeDocument/2006/relationships/image" Target="../media/image166.png"/><Relationship Id="rId98" Type="http://schemas.openxmlformats.org/officeDocument/2006/relationships/image" Target="../media/image38.png"/><Relationship Id="rId13" Type="http://schemas.openxmlformats.org/officeDocument/2006/relationships/image" Target="../media/image178.png"/><Relationship Id="rId12" Type="http://schemas.openxmlformats.org/officeDocument/2006/relationships/image" Target="../media/image45.png"/><Relationship Id="rId91" Type="http://schemas.openxmlformats.org/officeDocument/2006/relationships/image" Target="../media/image25.png"/><Relationship Id="rId90" Type="http://schemas.openxmlformats.org/officeDocument/2006/relationships/image" Target="../media/image156.png"/><Relationship Id="rId93" Type="http://schemas.openxmlformats.org/officeDocument/2006/relationships/image" Target="../media/image26.png"/><Relationship Id="rId92" Type="http://schemas.openxmlformats.org/officeDocument/2006/relationships/image" Target="../media/image30.png"/><Relationship Id="rId15" Type="http://schemas.openxmlformats.org/officeDocument/2006/relationships/image" Target="../media/image162.png"/><Relationship Id="rId14" Type="http://schemas.openxmlformats.org/officeDocument/2006/relationships/image" Target="../media/image149.png"/><Relationship Id="rId17" Type="http://schemas.openxmlformats.org/officeDocument/2006/relationships/image" Target="../media/image15.png"/><Relationship Id="rId16" Type="http://schemas.openxmlformats.org/officeDocument/2006/relationships/image" Target="../media/image154.png"/><Relationship Id="rId19" Type="http://schemas.openxmlformats.org/officeDocument/2006/relationships/image" Target="../media/image32.png"/><Relationship Id="rId18" Type="http://schemas.openxmlformats.org/officeDocument/2006/relationships/image" Target="../media/image17.png"/><Relationship Id="rId84" Type="http://schemas.openxmlformats.org/officeDocument/2006/relationships/image" Target="../media/image50.png"/><Relationship Id="rId83" Type="http://schemas.openxmlformats.org/officeDocument/2006/relationships/image" Target="../media/image41.png"/><Relationship Id="rId86" Type="http://schemas.openxmlformats.org/officeDocument/2006/relationships/image" Target="../media/image16.png"/><Relationship Id="rId85" Type="http://schemas.openxmlformats.org/officeDocument/2006/relationships/image" Target="../media/image172.png"/><Relationship Id="rId88" Type="http://schemas.openxmlformats.org/officeDocument/2006/relationships/image" Target="../media/image58.png"/><Relationship Id="rId87" Type="http://schemas.openxmlformats.org/officeDocument/2006/relationships/image" Target="../media/image52.png"/><Relationship Id="rId89" Type="http://schemas.openxmlformats.org/officeDocument/2006/relationships/image" Target="../media/image136.png"/><Relationship Id="rId80" Type="http://schemas.openxmlformats.org/officeDocument/2006/relationships/image" Target="../media/image31.png"/><Relationship Id="rId82" Type="http://schemas.openxmlformats.org/officeDocument/2006/relationships/image" Target="../media/image140.png"/><Relationship Id="rId81" Type="http://schemas.openxmlformats.org/officeDocument/2006/relationships/image" Target="../media/image19.png"/><Relationship Id="rId1" Type="http://schemas.openxmlformats.org/officeDocument/2006/relationships/image" Target="../media/image46.png"/><Relationship Id="rId2" Type="http://schemas.openxmlformats.org/officeDocument/2006/relationships/image" Target="../media/image133.png"/><Relationship Id="rId3" Type="http://schemas.openxmlformats.org/officeDocument/2006/relationships/image" Target="../media/image129.png"/><Relationship Id="rId4" Type="http://schemas.openxmlformats.org/officeDocument/2006/relationships/image" Target="../media/image44.png"/><Relationship Id="rId9" Type="http://schemas.openxmlformats.org/officeDocument/2006/relationships/image" Target="../media/image143.png"/><Relationship Id="rId5" Type="http://schemas.openxmlformats.org/officeDocument/2006/relationships/image" Target="../media/image112.png"/><Relationship Id="rId6" Type="http://schemas.openxmlformats.org/officeDocument/2006/relationships/image" Target="../media/image146.png"/><Relationship Id="rId7" Type="http://schemas.openxmlformats.org/officeDocument/2006/relationships/image" Target="../media/image153.png"/><Relationship Id="rId8" Type="http://schemas.openxmlformats.org/officeDocument/2006/relationships/image" Target="../media/image150.png"/><Relationship Id="rId73" Type="http://schemas.openxmlformats.org/officeDocument/2006/relationships/image" Target="../media/image175.png"/><Relationship Id="rId72" Type="http://schemas.openxmlformats.org/officeDocument/2006/relationships/image" Target="../media/image64.png"/><Relationship Id="rId75" Type="http://schemas.openxmlformats.org/officeDocument/2006/relationships/image" Target="../media/image66.png"/><Relationship Id="rId74" Type="http://schemas.openxmlformats.org/officeDocument/2006/relationships/image" Target="../media/image131.png"/><Relationship Id="rId77" Type="http://schemas.openxmlformats.org/officeDocument/2006/relationships/image" Target="../media/image39.png"/><Relationship Id="rId76" Type="http://schemas.openxmlformats.org/officeDocument/2006/relationships/image" Target="../media/image92.png"/><Relationship Id="rId79" Type="http://schemas.openxmlformats.org/officeDocument/2006/relationships/image" Target="../media/image28.png"/><Relationship Id="rId78" Type="http://schemas.openxmlformats.org/officeDocument/2006/relationships/image" Target="../media/image135.png"/><Relationship Id="rId71" Type="http://schemas.openxmlformats.org/officeDocument/2006/relationships/image" Target="../media/image127.png"/><Relationship Id="rId70" Type="http://schemas.openxmlformats.org/officeDocument/2006/relationships/image" Target="../media/image35.png"/><Relationship Id="rId62" Type="http://schemas.openxmlformats.org/officeDocument/2006/relationships/image" Target="../media/image163.png"/><Relationship Id="rId61" Type="http://schemas.openxmlformats.org/officeDocument/2006/relationships/image" Target="../media/image56.png"/><Relationship Id="rId64" Type="http://schemas.openxmlformats.org/officeDocument/2006/relationships/image" Target="../media/image184.png"/><Relationship Id="rId63" Type="http://schemas.openxmlformats.org/officeDocument/2006/relationships/image" Target="../media/image157.png"/><Relationship Id="rId66" Type="http://schemas.openxmlformats.org/officeDocument/2006/relationships/image" Target="../media/image116.png"/><Relationship Id="rId65" Type="http://schemas.openxmlformats.org/officeDocument/2006/relationships/image" Target="../media/image43.png"/><Relationship Id="rId68" Type="http://schemas.openxmlformats.org/officeDocument/2006/relationships/image" Target="../media/image22.png"/><Relationship Id="rId67" Type="http://schemas.openxmlformats.org/officeDocument/2006/relationships/image" Target="../media/image159.png"/><Relationship Id="rId60" Type="http://schemas.openxmlformats.org/officeDocument/2006/relationships/image" Target="../media/image63.png"/><Relationship Id="rId69" Type="http://schemas.openxmlformats.org/officeDocument/2006/relationships/image" Target="../media/image108.png"/><Relationship Id="rId51" Type="http://schemas.openxmlformats.org/officeDocument/2006/relationships/image" Target="../media/image13.png"/><Relationship Id="rId50" Type="http://schemas.openxmlformats.org/officeDocument/2006/relationships/image" Target="../media/image10.png"/><Relationship Id="rId53" Type="http://schemas.openxmlformats.org/officeDocument/2006/relationships/image" Target="../media/image40.png"/><Relationship Id="rId52" Type="http://schemas.openxmlformats.org/officeDocument/2006/relationships/image" Target="../media/image33.png"/><Relationship Id="rId55" Type="http://schemas.openxmlformats.org/officeDocument/2006/relationships/image" Target="../media/image49.png"/><Relationship Id="rId54" Type="http://schemas.openxmlformats.org/officeDocument/2006/relationships/image" Target="../media/image144.png"/><Relationship Id="rId57" Type="http://schemas.openxmlformats.org/officeDocument/2006/relationships/image" Target="../media/image57.png"/><Relationship Id="rId56" Type="http://schemas.openxmlformats.org/officeDocument/2006/relationships/image" Target="../media/image54.png"/><Relationship Id="rId59" Type="http://schemas.openxmlformats.org/officeDocument/2006/relationships/image" Target="../media/image47.png"/><Relationship Id="rId58" Type="http://schemas.openxmlformats.org/officeDocument/2006/relationships/image" Target="../media/image60.png"/></Relationships>
</file>

<file path=xl/drawings/_rels/drawing6.xml.rels><?xml version="1.0" encoding="UTF-8" standalone="yes"?><Relationships xmlns="http://schemas.openxmlformats.org/package/2006/relationships"><Relationship Id="rId40" Type="http://schemas.openxmlformats.org/officeDocument/2006/relationships/image" Target="../media/image54.png"/><Relationship Id="rId42" Type="http://schemas.openxmlformats.org/officeDocument/2006/relationships/image" Target="../media/image22.png"/><Relationship Id="rId41" Type="http://schemas.openxmlformats.org/officeDocument/2006/relationships/image" Target="../media/image57.png"/><Relationship Id="rId44" Type="http://schemas.openxmlformats.org/officeDocument/2006/relationships/image" Target="../media/image47.png"/><Relationship Id="rId43" Type="http://schemas.openxmlformats.org/officeDocument/2006/relationships/image" Target="../media/image60.png"/><Relationship Id="rId46" Type="http://schemas.openxmlformats.org/officeDocument/2006/relationships/image" Target="../media/image159.png"/><Relationship Id="rId45" Type="http://schemas.openxmlformats.org/officeDocument/2006/relationships/image" Target="../media/image63.png"/><Relationship Id="rId107" Type="http://schemas.openxmlformats.org/officeDocument/2006/relationships/image" Target="../media/image27.png"/><Relationship Id="rId106" Type="http://schemas.openxmlformats.org/officeDocument/2006/relationships/image" Target="../media/image55.png"/><Relationship Id="rId105" Type="http://schemas.openxmlformats.org/officeDocument/2006/relationships/image" Target="../media/image160.png"/><Relationship Id="rId104" Type="http://schemas.openxmlformats.org/officeDocument/2006/relationships/image" Target="../media/image12.png"/><Relationship Id="rId108" Type="http://schemas.openxmlformats.org/officeDocument/2006/relationships/image" Target="../media/image18.png"/><Relationship Id="rId48" Type="http://schemas.openxmlformats.org/officeDocument/2006/relationships/image" Target="../media/image163.png"/><Relationship Id="rId47" Type="http://schemas.openxmlformats.org/officeDocument/2006/relationships/image" Target="../media/image56.png"/><Relationship Id="rId49" Type="http://schemas.openxmlformats.org/officeDocument/2006/relationships/image" Target="../media/image157.png"/><Relationship Id="rId103" Type="http://schemas.openxmlformats.org/officeDocument/2006/relationships/image" Target="../media/image59.png"/><Relationship Id="rId102" Type="http://schemas.openxmlformats.org/officeDocument/2006/relationships/image" Target="../media/image113.png"/><Relationship Id="rId101" Type="http://schemas.openxmlformats.org/officeDocument/2006/relationships/image" Target="../media/image110.png"/><Relationship Id="rId100" Type="http://schemas.openxmlformats.org/officeDocument/2006/relationships/image" Target="../media/image158.png"/><Relationship Id="rId31" Type="http://schemas.openxmlformats.org/officeDocument/2006/relationships/image" Target="../media/image167.png"/><Relationship Id="rId30" Type="http://schemas.openxmlformats.org/officeDocument/2006/relationships/image" Target="../media/image148.png"/><Relationship Id="rId33" Type="http://schemas.openxmlformats.org/officeDocument/2006/relationships/image" Target="../media/image170.png"/><Relationship Id="rId32" Type="http://schemas.openxmlformats.org/officeDocument/2006/relationships/image" Target="../media/image62.png"/><Relationship Id="rId35" Type="http://schemas.openxmlformats.org/officeDocument/2006/relationships/image" Target="../media/image108.png"/><Relationship Id="rId34" Type="http://schemas.openxmlformats.org/officeDocument/2006/relationships/image" Target="../media/image13.png"/><Relationship Id="rId37" Type="http://schemas.openxmlformats.org/officeDocument/2006/relationships/image" Target="../media/image40.png"/><Relationship Id="rId36" Type="http://schemas.openxmlformats.org/officeDocument/2006/relationships/image" Target="../media/image33.png"/><Relationship Id="rId39" Type="http://schemas.openxmlformats.org/officeDocument/2006/relationships/image" Target="../media/image49.png"/><Relationship Id="rId38" Type="http://schemas.openxmlformats.org/officeDocument/2006/relationships/image" Target="../media/image144.png"/><Relationship Id="rId20" Type="http://schemas.openxmlformats.org/officeDocument/2006/relationships/image" Target="../media/image219.png"/><Relationship Id="rId22" Type="http://schemas.openxmlformats.org/officeDocument/2006/relationships/image" Target="../media/image8.png"/><Relationship Id="rId21" Type="http://schemas.openxmlformats.org/officeDocument/2006/relationships/image" Target="../media/image174.png"/><Relationship Id="rId24" Type="http://schemas.openxmlformats.org/officeDocument/2006/relationships/image" Target="../media/image10.png"/><Relationship Id="rId23" Type="http://schemas.openxmlformats.org/officeDocument/2006/relationships/image" Target="../media/image125.png"/><Relationship Id="rId26" Type="http://schemas.openxmlformats.org/officeDocument/2006/relationships/image" Target="../media/image121.png"/><Relationship Id="rId25" Type="http://schemas.openxmlformats.org/officeDocument/2006/relationships/image" Target="../media/image34.png"/><Relationship Id="rId28" Type="http://schemas.openxmlformats.org/officeDocument/2006/relationships/image" Target="../media/image21.png"/><Relationship Id="rId27" Type="http://schemas.openxmlformats.org/officeDocument/2006/relationships/image" Target="../media/image77.png"/><Relationship Id="rId29" Type="http://schemas.openxmlformats.org/officeDocument/2006/relationships/image" Target="../media/image109.png"/><Relationship Id="rId95" Type="http://schemas.openxmlformats.org/officeDocument/2006/relationships/image" Target="../media/image11.png"/><Relationship Id="rId94" Type="http://schemas.openxmlformats.org/officeDocument/2006/relationships/image" Target="../media/image169.png"/><Relationship Id="rId97" Type="http://schemas.openxmlformats.org/officeDocument/2006/relationships/image" Target="../media/image42.png"/><Relationship Id="rId96" Type="http://schemas.openxmlformats.org/officeDocument/2006/relationships/image" Target="../media/image14.png"/><Relationship Id="rId11" Type="http://schemas.openxmlformats.org/officeDocument/2006/relationships/image" Target="../media/image44.png"/><Relationship Id="rId99" Type="http://schemas.openxmlformats.org/officeDocument/2006/relationships/image" Target="../media/image137.png"/><Relationship Id="rId10" Type="http://schemas.openxmlformats.org/officeDocument/2006/relationships/image" Target="../media/image162.png"/><Relationship Id="rId98" Type="http://schemas.openxmlformats.org/officeDocument/2006/relationships/image" Target="../media/image38.png"/><Relationship Id="rId13" Type="http://schemas.openxmlformats.org/officeDocument/2006/relationships/image" Target="../media/image166.png"/><Relationship Id="rId12" Type="http://schemas.openxmlformats.org/officeDocument/2006/relationships/image" Target="../media/image154.png"/><Relationship Id="rId91" Type="http://schemas.openxmlformats.org/officeDocument/2006/relationships/image" Target="../media/image122.png"/><Relationship Id="rId90" Type="http://schemas.openxmlformats.org/officeDocument/2006/relationships/image" Target="../media/image165.png"/><Relationship Id="rId93" Type="http://schemas.openxmlformats.org/officeDocument/2006/relationships/image" Target="../media/image94.png"/><Relationship Id="rId92" Type="http://schemas.openxmlformats.org/officeDocument/2006/relationships/image" Target="../media/image171.png"/><Relationship Id="rId15" Type="http://schemas.openxmlformats.org/officeDocument/2006/relationships/image" Target="../media/image146.png"/><Relationship Id="rId14" Type="http://schemas.openxmlformats.org/officeDocument/2006/relationships/image" Target="../media/image112.png"/><Relationship Id="rId17" Type="http://schemas.openxmlformats.org/officeDocument/2006/relationships/image" Target="../media/image178.png"/><Relationship Id="rId16" Type="http://schemas.openxmlformats.org/officeDocument/2006/relationships/image" Target="../media/image153.png"/><Relationship Id="rId19" Type="http://schemas.openxmlformats.org/officeDocument/2006/relationships/image" Target="../media/image69.png"/><Relationship Id="rId18" Type="http://schemas.openxmlformats.org/officeDocument/2006/relationships/image" Target="../media/image149.png"/><Relationship Id="rId84" Type="http://schemas.openxmlformats.org/officeDocument/2006/relationships/image" Target="../media/image61.png"/><Relationship Id="rId83" Type="http://schemas.openxmlformats.org/officeDocument/2006/relationships/image" Target="../media/image37.png"/><Relationship Id="rId86" Type="http://schemas.openxmlformats.org/officeDocument/2006/relationships/image" Target="../media/image145.png"/><Relationship Id="rId85" Type="http://schemas.openxmlformats.org/officeDocument/2006/relationships/image" Target="../media/image155.png"/><Relationship Id="rId88" Type="http://schemas.openxmlformats.org/officeDocument/2006/relationships/image" Target="../media/image128.png"/><Relationship Id="rId87" Type="http://schemas.openxmlformats.org/officeDocument/2006/relationships/image" Target="../media/image100.png"/><Relationship Id="rId89" Type="http://schemas.openxmlformats.org/officeDocument/2006/relationships/image" Target="../media/image53.png"/><Relationship Id="rId80" Type="http://schemas.openxmlformats.org/officeDocument/2006/relationships/image" Target="../media/image23.png"/><Relationship Id="rId82" Type="http://schemas.openxmlformats.org/officeDocument/2006/relationships/image" Target="../media/image36.png"/><Relationship Id="rId81" Type="http://schemas.openxmlformats.org/officeDocument/2006/relationships/image" Target="../media/image32.png"/><Relationship Id="rId1" Type="http://schemas.openxmlformats.org/officeDocument/2006/relationships/image" Target="../media/image46.png"/><Relationship Id="rId2" Type="http://schemas.openxmlformats.org/officeDocument/2006/relationships/image" Target="../media/image133.png"/><Relationship Id="rId3" Type="http://schemas.openxmlformats.org/officeDocument/2006/relationships/image" Target="../media/image15.png"/><Relationship Id="rId4" Type="http://schemas.openxmlformats.org/officeDocument/2006/relationships/image" Target="../media/image150.png"/><Relationship Id="rId9" Type="http://schemas.openxmlformats.org/officeDocument/2006/relationships/image" Target="../media/image129.png"/><Relationship Id="rId5" Type="http://schemas.openxmlformats.org/officeDocument/2006/relationships/image" Target="../media/image17.png"/><Relationship Id="rId6" Type="http://schemas.openxmlformats.org/officeDocument/2006/relationships/image" Target="../media/image9.png"/><Relationship Id="rId7" Type="http://schemas.openxmlformats.org/officeDocument/2006/relationships/image" Target="../media/image45.png"/><Relationship Id="rId8" Type="http://schemas.openxmlformats.org/officeDocument/2006/relationships/image" Target="../media/image143.png"/><Relationship Id="rId73" Type="http://schemas.openxmlformats.org/officeDocument/2006/relationships/image" Target="../media/image156.png"/><Relationship Id="rId72" Type="http://schemas.openxmlformats.org/officeDocument/2006/relationships/image" Target="../media/image136.png"/><Relationship Id="rId75" Type="http://schemas.openxmlformats.org/officeDocument/2006/relationships/image" Target="../media/image30.png"/><Relationship Id="rId74" Type="http://schemas.openxmlformats.org/officeDocument/2006/relationships/image" Target="../media/image25.png"/><Relationship Id="rId77" Type="http://schemas.openxmlformats.org/officeDocument/2006/relationships/image" Target="../media/image51.png"/><Relationship Id="rId76" Type="http://schemas.openxmlformats.org/officeDocument/2006/relationships/image" Target="../media/image26.png"/><Relationship Id="rId79" Type="http://schemas.openxmlformats.org/officeDocument/2006/relationships/image" Target="../media/image126.png"/><Relationship Id="rId78" Type="http://schemas.openxmlformats.org/officeDocument/2006/relationships/image" Target="../media/image161.png"/><Relationship Id="rId71" Type="http://schemas.openxmlformats.org/officeDocument/2006/relationships/image" Target="../media/image58.png"/><Relationship Id="rId70" Type="http://schemas.openxmlformats.org/officeDocument/2006/relationships/image" Target="../media/image52.png"/><Relationship Id="rId62" Type="http://schemas.openxmlformats.org/officeDocument/2006/relationships/image" Target="../media/image131.png"/><Relationship Id="rId61" Type="http://schemas.openxmlformats.org/officeDocument/2006/relationships/image" Target="../media/image175.png"/><Relationship Id="rId64" Type="http://schemas.openxmlformats.org/officeDocument/2006/relationships/image" Target="../media/image92.png"/><Relationship Id="rId63" Type="http://schemas.openxmlformats.org/officeDocument/2006/relationships/image" Target="../media/image66.png"/><Relationship Id="rId66" Type="http://schemas.openxmlformats.org/officeDocument/2006/relationships/image" Target="../media/image135.png"/><Relationship Id="rId65" Type="http://schemas.openxmlformats.org/officeDocument/2006/relationships/image" Target="../media/image39.png"/><Relationship Id="rId68" Type="http://schemas.openxmlformats.org/officeDocument/2006/relationships/image" Target="../media/image172.png"/><Relationship Id="rId67" Type="http://schemas.openxmlformats.org/officeDocument/2006/relationships/image" Target="../media/image28.png"/><Relationship Id="rId60" Type="http://schemas.openxmlformats.org/officeDocument/2006/relationships/image" Target="../media/image64.png"/><Relationship Id="rId69" Type="http://schemas.openxmlformats.org/officeDocument/2006/relationships/image" Target="../media/image16.png"/><Relationship Id="rId51" Type="http://schemas.openxmlformats.org/officeDocument/2006/relationships/image" Target="../media/image43.png"/><Relationship Id="rId50" Type="http://schemas.openxmlformats.org/officeDocument/2006/relationships/image" Target="../media/image184.png"/><Relationship Id="rId53" Type="http://schemas.openxmlformats.org/officeDocument/2006/relationships/image" Target="../media/image31.png"/><Relationship Id="rId52" Type="http://schemas.openxmlformats.org/officeDocument/2006/relationships/image" Target="../media/image116.png"/><Relationship Id="rId55" Type="http://schemas.openxmlformats.org/officeDocument/2006/relationships/image" Target="../media/image50.png"/><Relationship Id="rId54" Type="http://schemas.openxmlformats.org/officeDocument/2006/relationships/image" Target="../media/image41.png"/><Relationship Id="rId57" Type="http://schemas.openxmlformats.org/officeDocument/2006/relationships/image" Target="../media/image19.png"/><Relationship Id="rId56" Type="http://schemas.openxmlformats.org/officeDocument/2006/relationships/image" Target="../media/image140.png"/><Relationship Id="rId59" Type="http://schemas.openxmlformats.org/officeDocument/2006/relationships/image" Target="../media/image127.png"/><Relationship Id="rId58" Type="http://schemas.openxmlformats.org/officeDocument/2006/relationships/image" Target="../media/image35.png"/></Relationships>
</file>

<file path=xl/drawings/_rels/drawing7.xml.rels><?xml version="1.0" encoding="UTF-8" standalone="yes"?><Relationships xmlns="http://schemas.openxmlformats.org/package/2006/relationships"><Relationship Id="rId40" Type="http://schemas.openxmlformats.org/officeDocument/2006/relationships/image" Target="../media/image32.png"/><Relationship Id="rId42" Type="http://schemas.openxmlformats.org/officeDocument/2006/relationships/image" Target="../media/image437.png"/><Relationship Id="rId41" Type="http://schemas.openxmlformats.org/officeDocument/2006/relationships/image" Target="../media/image47.png"/><Relationship Id="rId44" Type="http://schemas.openxmlformats.org/officeDocument/2006/relationships/image" Target="../media/image129.png"/><Relationship Id="rId43" Type="http://schemas.openxmlformats.org/officeDocument/2006/relationships/image" Target="../media/image166.png"/><Relationship Id="rId46" Type="http://schemas.openxmlformats.org/officeDocument/2006/relationships/image" Target="../media/image43.png"/><Relationship Id="rId45" Type="http://schemas.openxmlformats.org/officeDocument/2006/relationships/image" Target="../media/image448.png"/><Relationship Id="rId107" Type="http://schemas.openxmlformats.org/officeDocument/2006/relationships/image" Target="../media/image539.png"/><Relationship Id="rId106" Type="http://schemas.openxmlformats.org/officeDocument/2006/relationships/image" Target="../media/image153.png"/><Relationship Id="rId105" Type="http://schemas.openxmlformats.org/officeDocument/2006/relationships/image" Target="../media/image535.png"/><Relationship Id="rId104" Type="http://schemas.openxmlformats.org/officeDocument/2006/relationships/image" Target="../media/image551.png"/><Relationship Id="rId109" Type="http://schemas.openxmlformats.org/officeDocument/2006/relationships/image" Target="../media/image169.png"/><Relationship Id="rId108" Type="http://schemas.openxmlformats.org/officeDocument/2006/relationships/image" Target="../media/image122.png"/><Relationship Id="rId48" Type="http://schemas.openxmlformats.org/officeDocument/2006/relationships/image" Target="../media/image450.png"/><Relationship Id="rId47" Type="http://schemas.openxmlformats.org/officeDocument/2006/relationships/image" Target="../media/image15.png"/><Relationship Id="rId49" Type="http://schemas.openxmlformats.org/officeDocument/2006/relationships/image" Target="../media/image155.png"/><Relationship Id="rId103" Type="http://schemas.openxmlformats.org/officeDocument/2006/relationships/image" Target="../media/image528.png"/><Relationship Id="rId102" Type="http://schemas.openxmlformats.org/officeDocument/2006/relationships/image" Target="../media/image64.png"/><Relationship Id="rId101" Type="http://schemas.openxmlformats.org/officeDocument/2006/relationships/image" Target="../media/image522.png"/><Relationship Id="rId100" Type="http://schemas.openxmlformats.org/officeDocument/2006/relationships/image" Target="../media/image112.png"/><Relationship Id="rId31" Type="http://schemas.openxmlformats.org/officeDocument/2006/relationships/image" Target="../media/image8.png"/><Relationship Id="rId30" Type="http://schemas.openxmlformats.org/officeDocument/2006/relationships/image" Target="../media/image42.png"/><Relationship Id="rId33" Type="http://schemas.openxmlformats.org/officeDocument/2006/relationships/image" Target="../media/image440.png"/><Relationship Id="rId32" Type="http://schemas.openxmlformats.org/officeDocument/2006/relationships/image" Target="../media/image23.png"/><Relationship Id="rId35" Type="http://schemas.openxmlformats.org/officeDocument/2006/relationships/image" Target="../media/image433.png"/><Relationship Id="rId34" Type="http://schemas.openxmlformats.org/officeDocument/2006/relationships/image" Target="../media/image17.png"/><Relationship Id="rId37" Type="http://schemas.openxmlformats.org/officeDocument/2006/relationships/image" Target="../media/image56.png"/><Relationship Id="rId36" Type="http://schemas.openxmlformats.org/officeDocument/2006/relationships/image" Target="../media/image10.png"/><Relationship Id="rId39" Type="http://schemas.openxmlformats.org/officeDocument/2006/relationships/image" Target="../media/image438.png"/><Relationship Id="rId38" Type="http://schemas.openxmlformats.org/officeDocument/2006/relationships/image" Target="../media/image150.png"/><Relationship Id="rId20" Type="http://schemas.openxmlformats.org/officeDocument/2006/relationships/image" Target="../media/image53.png"/><Relationship Id="rId22" Type="http://schemas.openxmlformats.org/officeDocument/2006/relationships/image" Target="../media/image11.png"/><Relationship Id="rId21" Type="http://schemas.openxmlformats.org/officeDocument/2006/relationships/image" Target="../media/image422.png"/><Relationship Id="rId24" Type="http://schemas.openxmlformats.org/officeDocument/2006/relationships/image" Target="../media/image146.png"/><Relationship Id="rId23" Type="http://schemas.openxmlformats.org/officeDocument/2006/relationships/image" Target="../media/image167.png"/><Relationship Id="rId26" Type="http://schemas.openxmlformats.org/officeDocument/2006/relationships/image" Target="../media/image51.png"/><Relationship Id="rId25" Type="http://schemas.openxmlformats.org/officeDocument/2006/relationships/image" Target="../media/image429.png"/><Relationship Id="rId28" Type="http://schemas.openxmlformats.org/officeDocument/2006/relationships/image" Target="../media/image26.png"/><Relationship Id="rId27" Type="http://schemas.openxmlformats.org/officeDocument/2006/relationships/image" Target="../media/image161.png"/><Relationship Id="rId29" Type="http://schemas.openxmlformats.org/officeDocument/2006/relationships/image" Target="../media/image428.png"/><Relationship Id="rId95" Type="http://schemas.openxmlformats.org/officeDocument/2006/relationships/image" Target="../media/image154.png"/><Relationship Id="rId94" Type="http://schemas.openxmlformats.org/officeDocument/2006/relationships/image" Target="../media/image508.png"/><Relationship Id="rId97" Type="http://schemas.openxmlformats.org/officeDocument/2006/relationships/image" Target="../media/image184.png"/><Relationship Id="rId96" Type="http://schemas.openxmlformats.org/officeDocument/2006/relationships/image" Target="../media/image45.png"/><Relationship Id="rId11" Type="http://schemas.openxmlformats.org/officeDocument/2006/relationships/image" Target="../media/image28.png"/><Relationship Id="rId99" Type="http://schemas.openxmlformats.org/officeDocument/2006/relationships/image" Target="../media/image519.png"/><Relationship Id="rId10" Type="http://schemas.openxmlformats.org/officeDocument/2006/relationships/image" Target="../media/image92.png"/><Relationship Id="rId98" Type="http://schemas.openxmlformats.org/officeDocument/2006/relationships/image" Target="../media/image517.png"/><Relationship Id="rId13" Type="http://schemas.openxmlformats.org/officeDocument/2006/relationships/image" Target="../media/image418.png"/><Relationship Id="rId12" Type="http://schemas.openxmlformats.org/officeDocument/2006/relationships/image" Target="../media/image140.png"/><Relationship Id="rId91" Type="http://schemas.openxmlformats.org/officeDocument/2006/relationships/image" Target="../media/image69.png"/><Relationship Id="rId90" Type="http://schemas.openxmlformats.org/officeDocument/2006/relationships/image" Target="../media/image507.png"/><Relationship Id="rId93" Type="http://schemas.openxmlformats.org/officeDocument/2006/relationships/image" Target="../media/image178.png"/><Relationship Id="rId92" Type="http://schemas.openxmlformats.org/officeDocument/2006/relationships/image" Target="../media/image143.png"/><Relationship Id="rId117" Type="http://schemas.openxmlformats.org/officeDocument/2006/relationships/image" Target="../media/image556.png"/><Relationship Id="rId116" Type="http://schemas.openxmlformats.org/officeDocument/2006/relationships/image" Target="../media/image553.png"/><Relationship Id="rId115" Type="http://schemas.openxmlformats.org/officeDocument/2006/relationships/image" Target="../media/image63.png"/><Relationship Id="rId15" Type="http://schemas.openxmlformats.org/officeDocument/2006/relationships/image" Target="../media/image18.png"/><Relationship Id="rId110" Type="http://schemas.openxmlformats.org/officeDocument/2006/relationships/image" Target="../media/image536.png"/><Relationship Id="rId14" Type="http://schemas.openxmlformats.org/officeDocument/2006/relationships/image" Target="../media/image108.png"/><Relationship Id="rId17" Type="http://schemas.openxmlformats.org/officeDocument/2006/relationships/image" Target="../media/image425.png"/><Relationship Id="rId16" Type="http://schemas.openxmlformats.org/officeDocument/2006/relationships/image" Target="../media/image59.png"/><Relationship Id="rId19" Type="http://schemas.openxmlformats.org/officeDocument/2006/relationships/image" Target="../media/image39.png"/><Relationship Id="rId114" Type="http://schemas.openxmlformats.org/officeDocument/2006/relationships/image" Target="../media/image546.png"/><Relationship Id="rId18" Type="http://schemas.openxmlformats.org/officeDocument/2006/relationships/image" Target="../media/image40.png"/><Relationship Id="rId113" Type="http://schemas.openxmlformats.org/officeDocument/2006/relationships/image" Target="../media/image61.png"/><Relationship Id="rId112" Type="http://schemas.openxmlformats.org/officeDocument/2006/relationships/image" Target="../media/image545.png"/><Relationship Id="rId111" Type="http://schemas.openxmlformats.org/officeDocument/2006/relationships/image" Target="../media/image116.png"/><Relationship Id="rId84" Type="http://schemas.openxmlformats.org/officeDocument/2006/relationships/image" Target="../media/image148.png"/><Relationship Id="rId83" Type="http://schemas.openxmlformats.org/officeDocument/2006/relationships/image" Target="../media/image506.png"/><Relationship Id="rId86" Type="http://schemas.openxmlformats.org/officeDocument/2006/relationships/image" Target="../media/image504.png"/><Relationship Id="rId85" Type="http://schemas.openxmlformats.org/officeDocument/2006/relationships/image" Target="../media/image109.png"/><Relationship Id="rId88" Type="http://schemas.openxmlformats.org/officeDocument/2006/relationships/image" Target="../media/image159.png"/><Relationship Id="rId87" Type="http://schemas.openxmlformats.org/officeDocument/2006/relationships/image" Target="../media/image37.png"/><Relationship Id="rId89" Type="http://schemas.openxmlformats.org/officeDocument/2006/relationships/image" Target="../media/image31.png"/><Relationship Id="rId80" Type="http://schemas.openxmlformats.org/officeDocument/2006/relationships/image" Target="../media/image145.png"/><Relationship Id="rId82" Type="http://schemas.openxmlformats.org/officeDocument/2006/relationships/image" Target="../media/image44.png"/><Relationship Id="rId81" Type="http://schemas.openxmlformats.org/officeDocument/2006/relationships/image" Target="../media/image496.png"/><Relationship Id="rId1" Type="http://schemas.openxmlformats.org/officeDocument/2006/relationships/image" Target="../media/image403.png"/><Relationship Id="rId2" Type="http://schemas.openxmlformats.org/officeDocument/2006/relationships/image" Target="../media/image13.png"/><Relationship Id="rId3" Type="http://schemas.openxmlformats.org/officeDocument/2006/relationships/image" Target="../media/image22.png"/><Relationship Id="rId4" Type="http://schemas.openxmlformats.org/officeDocument/2006/relationships/image" Target="../media/image62.png"/><Relationship Id="rId9" Type="http://schemas.openxmlformats.org/officeDocument/2006/relationships/image" Target="../media/image414.png"/><Relationship Id="rId5" Type="http://schemas.openxmlformats.org/officeDocument/2006/relationships/image" Target="../media/image407.png"/><Relationship Id="rId6" Type="http://schemas.openxmlformats.org/officeDocument/2006/relationships/image" Target="../media/image9.png"/><Relationship Id="rId7" Type="http://schemas.openxmlformats.org/officeDocument/2006/relationships/image" Target="../media/image49.png"/><Relationship Id="rId8" Type="http://schemas.openxmlformats.org/officeDocument/2006/relationships/image" Target="../media/image16.png"/><Relationship Id="rId73" Type="http://schemas.openxmlformats.org/officeDocument/2006/relationships/image" Target="../media/image12.png"/><Relationship Id="rId72" Type="http://schemas.openxmlformats.org/officeDocument/2006/relationships/image" Target="../media/image481.png"/><Relationship Id="rId75" Type="http://schemas.openxmlformats.org/officeDocument/2006/relationships/image" Target="../media/image110.png"/><Relationship Id="rId74" Type="http://schemas.openxmlformats.org/officeDocument/2006/relationships/image" Target="../media/image27.png"/><Relationship Id="rId77" Type="http://schemas.openxmlformats.org/officeDocument/2006/relationships/image" Target="../media/image36.png"/><Relationship Id="rId76" Type="http://schemas.openxmlformats.org/officeDocument/2006/relationships/image" Target="../media/image488.png"/><Relationship Id="rId79" Type="http://schemas.openxmlformats.org/officeDocument/2006/relationships/image" Target="../media/image492.png"/><Relationship Id="rId78" Type="http://schemas.openxmlformats.org/officeDocument/2006/relationships/image" Target="../media/image482.png"/><Relationship Id="rId71" Type="http://schemas.openxmlformats.org/officeDocument/2006/relationships/image" Target="../media/image58.png"/><Relationship Id="rId70" Type="http://schemas.openxmlformats.org/officeDocument/2006/relationships/image" Target="../media/image480.png"/><Relationship Id="rId62" Type="http://schemas.openxmlformats.org/officeDocument/2006/relationships/image" Target="../media/image461.png"/><Relationship Id="rId61" Type="http://schemas.openxmlformats.org/officeDocument/2006/relationships/image" Target="../media/image144.png"/><Relationship Id="rId64" Type="http://schemas.openxmlformats.org/officeDocument/2006/relationships/image" Target="../media/image468.png"/><Relationship Id="rId63" Type="http://schemas.openxmlformats.org/officeDocument/2006/relationships/image" Target="../media/image38.png"/><Relationship Id="rId66" Type="http://schemas.openxmlformats.org/officeDocument/2006/relationships/image" Target="../media/image35.png"/><Relationship Id="rId65" Type="http://schemas.openxmlformats.org/officeDocument/2006/relationships/image" Target="../media/image100.png"/><Relationship Id="rId68" Type="http://schemas.openxmlformats.org/officeDocument/2006/relationships/image" Target="../media/image52.png"/><Relationship Id="rId67" Type="http://schemas.openxmlformats.org/officeDocument/2006/relationships/image" Target="../media/image471.png"/><Relationship Id="rId60" Type="http://schemas.openxmlformats.org/officeDocument/2006/relationships/image" Target="../media/image94.png"/><Relationship Id="rId69" Type="http://schemas.openxmlformats.org/officeDocument/2006/relationships/image" Target="../media/image30.png"/><Relationship Id="rId51" Type="http://schemas.openxmlformats.org/officeDocument/2006/relationships/image" Target="../media/image21.png"/><Relationship Id="rId50" Type="http://schemas.openxmlformats.org/officeDocument/2006/relationships/image" Target="../media/image77.png"/><Relationship Id="rId53" Type="http://schemas.openxmlformats.org/officeDocument/2006/relationships/image" Target="../media/image165.png"/><Relationship Id="rId52" Type="http://schemas.openxmlformats.org/officeDocument/2006/relationships/image" Target="../media/image469.png"/><Relationship Id="rId55" Type="http://schemas.openxmlformats.org/officeDocument/2006/relationships/image" Target="../media/image34.png"/><Relationship Id="rId54" Type="http://schemas.openxmlformats.org/officeDocument/2006/relationships/image" Target="../media/image458.png"/><Relationship Id="rId57" Type="http://schemas.openxmlformats.org/officeDocument/2006/relationships/image" Target="../media/image126.png"/><Relationship Id="rId56" Type="http://schemas.openxmlformats.org/officeDocument/2006/relationships/image" Target="../media/image46.png"/><Relationship Id="rId59" Type="http://schemas.openxmlformats.org/officeDocument/2006/relationships/image" Target="../media/image54.png"/><Relationship Id="rId58" Type="http://schemas.openxmlformats.org/officeDocument/2006/relationships/image" Target="../media/image465.png"/></Relationships>
</file>

<file path=xl/drawings/_rels/drawing8.xml.rels><?xml version="1.0" encoding="UTF-8" standalone="yes"?><Relationships xmlns="http://schemas.openxmlformats.org/package/2006/relationships"><Relationship Id="rId40" Type="http://schemas.openxmlformats.org/officeDocument/2006/relationships/image" Target="../media/image595.png"/><Relationship Id="rId190" Type="http://schemas.openxmlformats.org/officeDocument/2006/relationships/image" Target="../media/image749.png"/><Relationship Id="rId42" Type="http://schemas.openxmlformats.org/officeDocument/2006/relationships/image" Target="../media/image602.png"/><Relationship Id="rId41" Type="http://schemas.openxmlformats.org/officeDocument/2006/relationships/image" Target="../media/image592.png"/><Relationship Id="rId44" Type="http://schemas.openxmlformats.org/officeDocument/2006/relationships/image" Target="../media/image607.png"/><Relationship Id="rId194" Type="http://schemas.openxmlformats.org/officeDocument/2006/relationships/image" Target="../media/image750.png"/><Relationship Id="rId43" Type="http://schemas.openxmlformats.org/officeDocument/2006/relationships/image" Target="../media/image591.png"/><Relationship Id="rId193" Type="http://schemas.openxmlformats.org/officeDocument/2006/relationships/image" Target="../media/image746.png"/><Relationship Id="rId46" Type="http://schemas.openxmlformats.org/officeDocument/2006/relationships/image" Target="../media/image611.png"/><Relationship Id="rId192" Type="http://schemas.openxmlformats.org/officeDocument/2006/relationships/image" Target="../media/image755.png"/><Relationship Id="rId45" Type="http://schemas.openxmlformats.org/officeDocument/2006/relationships/image" Target="../media/image615.png"/><Relationship Id="rId191" Type="http://schemas.openxmlformats.org/officeDocument/2006/relationships/image" Target="../media/image752.png"/><Relationship Id="rId48" Type="http://schemas.openxmlformats.org/officeDocument/2006/relationships/image" Target="../media/image599.png"/><Relationship Id="rId187" Type="http://schemas.openxmlformats.org/officeDocument/2006/relationships/image" Target="../media/image757.png"/><Relationship Id="rId47" Type="http://schemas.openxmlformats.org/officeDocument/2006/relationships/image" Target="../media/image601.png"/><Relationship Id="rId186" Type="http://schemas.openxmlformats.org/officeDocument/2006/relationships/image" Target="../media/image744.png"/><Relationship Id="rId185" Type="http://schemas.openxmlformats.org/officeDocument/2006/relationships/image" Target="../media/image742.png"/><Relationship Id="rId49" Type="http://schemas.openxmlformats.org/officeDocument/2006/relationships/image" Target="../media/image604.png"/><Relationship Id="rId184" Type="http://schemas.openxmlformats.org/officeDocument/2006/relationships/image" Target="../media/image754.png"/><Relationship Id="rId189" Type="http://schemas.openxmlformats.org/officeDocument/2006/relationships/image" Target="../media/image756.png"/><Relationship Id="rId188" Type="http://schemas.openxmlformats.org/officeDocument/2006/relationships/image" Target="../media/image743.png"/><Relationship Id="rId31" Type="http://schemas.openxmlformats.org/officeDocument/2006/relationships/image" Target="../media/image584.png"/><Relationship Id="rId30" Type="http://schemas.openxmlformats.org/officeDocument/2006/relationships/image" Target="../media/image603.png"/><Relationship Id="rId33" Type="http://schemas.openxmlformats.org/officeDocument/2006/relationships/image" Target="../media/image585.png"/><Relationship Id="rId183" Type="http://schemas.openxmlformats.org/officeDocument/2006/relationships/image" Target="../media/image748.png"/><Relationship Id="rId32" Type="http://schemas.openxmlformats.org/officeDocument/2006/relationships/image" Target="../media/image594.png"/><Relationship Id="rId182" Type="http://schemas.openxmlformats.org/officeDocument/2006/relationships/image" Target="../media/image741.png"/><Relationship Id="rId35" Type="http://schemas.openxmlformats.org/officeDocument/2006/relationships/image" Target="../media/image589.png"/><Relationship Id="rId181" Type="http://schemas.openxmlformats.org/officeDocument/2006/relationships/image" Target="../media/image735.png"/><Relationship Id="rId34" Type="http://schemas.openxmlformats.org/officeDocument/2006/relationships/image" Target="../media/image586.png"/><Relationship Id="rId180" Type="http://schemas.openxmlformats.org/officeDocument/2006/relationships/image" Target="../media/image737.png"/><Relationship Id="rId37" Type="http://schemas.openxmlformats.org/officeDocument/2006/relationships/image" Target="../media/image596.png"/><Relationship Id="rId176" Type="http://schemas.openxmlformats.org/officeDocument/2006/relationships/image" Target="../media/image740.png"/><Relationship Id="rId36" Type="http://schemas.openxmlformats.org/officeDocument/2006/relationships/image" Target="../media/image598.png"/><Relationship Id="rId175" Type="http://schemas.openxmlformats.org/officeDocument/2006/relationships/image" Target="../media/image734.png"/><Relationship Id="rId39" Type="http://schemas.openxmlformats.org/officeDocument/2006/relationships/image" Target="../media/image590.png"/><Relationship Id="rId174" Type="http://schemas.openxmlformats.org/officeDocument/2006/relationships/image" Target="../media/image732.png"/><Relationship Id="rId38" Type="http://schemas.openxmlformats.org/officeDocument/2006/relationships/image" Target="../media/image593.png"/><Relationship Id="rId173" Type="http://schemas.openxmlformats.org/officeDocument/2006/relationships/image" Target="../media/image728.png"/><Relationship Id="rId179" Type="http://schemas.openxmlformats.org/officeDocument/2006/relationships/image" Target="../media/image733.png"/><Relationship Id="rId178" Type="http://schemas.openxmlformats.org/officeDocument/2006/relationships/image" Target="../media/image738.png"/><Relationship Id="rId177" Type="http://schemas.openxmlformats.org/officeDocument/2006/relationships/image" Target="../media/image736.png"/><Relationship Id="rId20" Type="http://schemas.openxmlformats.org/officeDocument/2006/relationships/image" Target="../media/image580.png"/><Relationship Id="rId22" Type="http://schemas.openxmlformats.org/officeDocument/2006/relationships/image" Target="../media/image581.png"/><Relationship Id="rId21" Type="http://schemas.openxmlformats.org/officeDocument/2006/relationships/image" Target="../media/image575.png"/><Relationship Id="rId24" Type="http://schemas.openxmlformats.org/officeDocument/2006/relationships/image" Target="../media/image577.png"/><Relationship Id="rId23" Type="http://schemas.openxmlformats.org/officeDocument/2006/relationships/image" Target="../media/image600.png"/><Relationship Id="rId26" Type="http://schemas.openxmlformats.org/officeDocument/2006/relationships/image" Target="../media/image587.png"/><Relationship Id="rId25" Type="http://schemas.openxmlformats.org/officeDocument/2006/relationships/image" Target="../media/image579.png"/><Relationship Id="rId28" Type="http://schemas.openxmlformats.org/officeDocument/2006/relationships/image" Target="../media/image588.png"/><Relationship Id="rId27" Type="http://schemas.openxmlformats.org/officeDocument/2006/relationships/image" Target="../media/image583.png"/><Relationship Id="rId29" Type="http://schemas.openxmlformats.org/officeDocument/2006/relationships/image" Target="../media/image597.png"/><Relationship Id="rId11" Type="http://schemas.openxmlformats.org/officeDocument/2006/relationships/image" Target="../media/image568.png"/><Relationship Id="rId10" Type="http://schemas.openxmlformats.org/officeDocument/2006/relationships/image" Target="../media/image573.png"/><Relationship Id="rId13" Type="http://schemas.openxmlformats.org/officeDocument/2006/relationships/image" Target="../media/image582.png"/><Relationship Id="rId12" Type="http://schemas.openxmlformats.org/officeDocument/2006/relationships/image" Target="../media/image569.png"/><Relationship Id="rId15" Type="http://schemas.openxmlformats.org/officeDocument/2006/relationships/image" Target="../media/image578.png"/><Relationship Id="rId198" Type="http://schemas.openxmlformats.org/officeDocument/2006/relationships/image" Target="../media/image751.png"/><Relationship Id="rId14" Type="http://schemas.openxmlformats.org/officeDocument/2006/relationships/image" Target="../media/image572.png"/><Relationship Id="rId197" Type="http://schemas.openxmlformats.org/officeDocument/2006/relationships/image" Target="../media/image753.png"/><Relationship Id="rId17" Type="http://schemas.openxmlformats.org/officeDocument/2006/relationships/image" Target="../media/image571.png"/><Relationship Id="rId196" Type="http://schemas.openxmlformats.org/officeDocument/2006/relationships/image" Target="../media/image747.png"/><Relationship Id="rId16" Type="http://schemas.openxmlformats.org/officeDocument/2006/relationships/image" Target="../media/image574.png"/><Relationship Id="rId195" Type="http://schemas.openxmlformats.org/officeDocument/2006/relationships/image" Target="../media/image745.png"/><Relationship Id="rId19" Type="http://schemas.openxmlformats.org/officeDocument/2006/relationships/image" Target="../media/image605.png"/><Relationship Id="rId18" Type="http://schemas.openxmlformats.org/officeDocument/2006/relationships/image" Target="../media/image570.png"/><Relationship Id="rId84" Type="http://schemas.openxmlformats.org/officeDocument/2006/relationships/image" Target="../media/image639.png"/><Relationship Id="rId83" Type="http://schemas.openxmlformats.org/officeDocument/2006/relationships/image" Target="../media/image637.png"/><Relationship Id="rId86" Type="http://schemas.openxmlformats.org/officeDocument/2006/relationships/image" Target="../media/image645.png"/><Relationship Id="rId85" Type="http://schemas.openxmlformats.org/officeDocument/2006/relationships/image" Target="../media/image647.png"/><Relationship Id="rId88" Type="http://schemas.openxmlformats.org/officeDocument/2006/relationships/image" Target="../media/image650.png"/><Relationship Id="rId150" Type="http://schemas.openxmlformats.org/officeDocument/2006/relationships/image" Target="../media/image707.png"/><Relationship Id="rId87" Type="http://schemas.openxmlformats.org/officeDocument/2006/relationships/image" Target="../media/image642.png"/><Relationship Id="rId89" Type="http://schemas.openxmlformats.org/officeDocument/2006/relationships/image" Target="../media/image654.png"/><Relationship Id="rId80" Type="http://schemas.openxmlformats.org/officeDocument/2006/relationships/image" Target="../media/image638.png"/><Relationship Id="rId82" Type="http://schemas.openxmlformats.org/officeDocument/2006/relationships/image" Target="../media/image641.png"/><Relationship Id="rId81" Type="http://schemas.openxmlformats.org/officeDocument/2006/relationships/image" Target="../media/image634.png"/><Relationship Id="rId1" Type="http://schemas.openxmlformats.org/officeDocument/2006/relationships/image" Target="../media/image564.png"/><Relationship Id="rId2" Type="http://schemas.openxmlformats.org/officeDocument/2006/relationships/image" Target="../media/image560.png"/><Relationship Id="rId3" Type="http://schemas.openxmlformats.org/officeDocument/2006/relationships/image" Target="../media/image557.png"/><Relationship Id="rId149" Type="http://schemas.openxmlformats.org/officeDocument/2006/relationships/image" Target="../media/image699.png"/><Relationship Id="rId4" Type="http://schemas.openxmlformats.org/officeDocument/2006/relationships/image" Target="../media/image561.png"/><Relationship Id="rId148" Type="http://schemas.openxmlformats.org/officeDocument/2006/relationships/image" Target="../media/image704.png"/><Relationship Id="rId9" Type="http://schemas.openxmlformats.org/officeDocument/2006/relationships/image" Target="../media/image563.png"/><Relationship Id="rId143" Type="http://schemas.openxmlformats.org/officeDocument/2006/relationships/image" Target="../media/image703.png"/><Relationship Id="rId142" Type="http://schemas.openxmlformats.org/officeDocument/2006/relationships/image" Target="../media/image700.png"/><Relationship Id="rId141" Type="http://schemas.openxmlformats.org/officeDocument/2006/relationships/image" Target="../media/image698.png"/><Relationship Id="rId140" Type="http://schemas.openxmlformats.org/officeDocument/2006/relationships/image" Target="../media/image705.png"/><Relationship Id="rId5" Type="http://schemas.openxmlformats.org/officeDocument/2006/relationships/image" Target="../media/image565.png"/><Relationship Id="rId147" Type="http://schemas.openxmlformats.org/officeDocument/2006/relationships/image" Target="../media/image697.png"/><Relationship Id="rId6" Type="http://schemas.openxmlformats.org/officeDocument/2006/relationships/image" Target="../media/image562.png"/><Relationship Id="rId146" Type="http://schemas.openxmlformats.org/officeDocument/2006/relationships/image" Target="../media/image694.png"/><Relationship Id="rId7" Type="http://schemas.openxmlformats.org/officeDocument/2006/relationships/image" Target="../media/image566.png"/><Relationship Id="rId145" Type="http://schemas.openxmlformats.org/officeDocument/2006/relationships/image" Target="../media/image696.png"/><Relationship Id="rId8" Type="http://schemas.openxmlformats.org/officeDocument/2006/relationships/image" Target="../media/image576.png"/><Relationship Id="rId144" Type="http://schemas.openxmlformats.org/officeDocument/2006/relationships/image" Target="../media/image702.png"/><Relationship Id="rId73" Type="http://schemas.openxmlformats.org/officeDocument/2006/relationships/image" Target="../media/image630.png"/><Relationship Id="rId72" Type="http://schemas.openxmlformats.org/officeDocument/2006/relationships/image" Target="../media/image631.png"/><Relationship Id="rId75" Type="http://schemas.openxmlformats.org/officeDocument/2006/relationships/image" Target="../media/image628.png"/><Relationship Id="rId74" Type="http://schemas.openxmlformats.org/officeDocument/2006/relationships/image" Target="../media/image636.png"/><Relationship Id="rId77" Type="http://schemas.openxmlformats.org/officeDocument/2006/relationships/image" Target="../media/image644.png"/><Relationship Id="rId76" Type="http://schemas.openxmlformats.org/officeDocument/2006/relationships/image" Target="../media/image633.png"/><Relationship Id="rId79" Type="http://schemas.openxmlformats.org/officeDocument/2006/relationships/image" Target="../media/image635.png"/><Relationship Id="rId78" Type="http://schemas.openxmlformats.org/officeDocument/2006/relationships/image" Target="../media/image632.png"/><Relationship Id="rId71" Type="http://schemas.openxmlformats.org/officeDocument/2006/relationships/image" Target="../media/image621.png"/><Relationship Id="rId70" Type="http://schemas.openxmlformats.org/officeDocument/2006/relationships/image" Target="../media/image646.png"/><Relationship Id="rId139" Type="http://schemas.openxmlformats.org/officeDocument/2006/relationships/image" Target="../media/image692.png"/><Relationship Id="rId138" Type="http://schemas.openxmlformats.org/officeDocument/2006/relationships/image" Target="../media/image685.png"/><Relationship Id="rId137" Type="http://schemas.openxmlformats.org/officeDocument/2006/relationships/image" Target="../media/image691.png"/><Relationship Id="rId132" Type="http://schemas.openxmlformats.org/officeDocument/2006/relationships/image" Target="../media/image687.png"/><Relationship Id="rId131" Type="http://schemas.openxmlformats.org/officeDocument/2006/relationships/image" Target="../media/image706.png"/><Relationship Id="rId130" Type="http://schemas.openxmlformats.org/officeDocument/2006/relationships/image" Target="../media/image683.png"/><Relationship Id="rId136" Type="http://schemas.openxmlformats.org/officeDocument/2006/relationships/image" Target="../media/image688.png"/><Relationship Id="rId135" Type="http://schemas.openxmlformats.org/officeDocument/2006/relationships/image" Target="../media/image689.png"/><Relationship Id="rId134" Type="http://schemas.openxmlformats.org/officeDocument/2006/relationships/image" Target="../media/image690.png"/><Relationship Id="rId133" Type="http://schemas.openxmlformats.org/officeDocument/2006/relationships/image" Target="../media/image739.png"/><Relationship Id="rId62" Type="http://schemas.openxmlformats.org/officeDocument/2006/relationships/image" Target="../media/image618.png"/><Relationship Id="rId61" Type="http://schemas.openxmlformats.org/officeDocument/2006/relationships/image" Target="../media/image619.png"/><Relationship Id="rId64" Type="http://schemas.openxmlformats.org/officeDocument/2006/relationships/image" Target="../media/image629.png"/><Relationship Id="rId63" Type="http://schemas.openxmlformats.org/officeDocument/2006/relationships/image" Target="../media/image620.png"/><Relationship Id="rId66" Type="http://schemas.openxmlformats.org/officeDocument/2006/relationships/image" Target="../media/image623.png"/><Relationship Id="rId172" Type="http://schemas.openxmlformats.org/officeDocument/2006/relationships/image" Target="../media/image721.png"/><Relationship Id="rId65" Type="http://schemas.openxmlformats.org/officeDocument/2006/relationships/image" Target="../media/image625.png"/><Relationship Id="rId171" Type="http://schemas.openxmlformats.org/officeDocument/2006/relationships/image" Target="../media/image722.png"/><Relationship Id="rId68" Type="http://schemas.openxmlformats.org/officeDocument/2006/relationships/image" Target="../media/image626.png"/><Relationship Id="rId170" Type="http://schemas.openxmlformats.org/officeDocument/2006/relationships/image" Target="../media/image731.png"/><Relationship Id="rId67" Type="http://schemas.openxmlformats.org/officeDocument/2006/relationships/image" Target="../media/image624.png"/><Relationship Id="rId60" Type="http://schemas.openxmlformats.org/officeDocument/2006/relationships/image" Target="../media/image610.png"/><Relationship Id="rId165" Type="http://schemas.openxmlformats.org/officeDocument/2006/relationships/image" Target="../media/image723.png"/><Relationship Id="rId69" Type="http://schemas.openxmlformats.org/officeDocument/2006/relationships/image" Target="../media/image622.png"/><Relationship Id="rId164" Type="http://schemas.openxmlformats.org/officeDocument/2006/relationships/image" Target="../media/image717.png"/><Relationship Id="rId163" Type="http://schemas.openxmlformats.org/officeDocument/2006/relationships/image" Target="../media/image720.png"/><Relationship Id="rId162" Type="http://schemas.openxmlformats.org/officeDocument/2006/relationships/image" Target="../media/image725.png"/><Relationship Id="rId169" Type="http://schemas.openxmlformats.org/officeDocument/2006/relationships/image" Target="../media/image729.png"/><Relationship Id="rId168" Type="http://schemas.openxmlformats.org/officeDocument/2006/relationships/image" Target="../media/image726.png"/><Relationship Id="rId167" Type="http://schemas.openxmlformats.org/officeDocument/2006/relationships/image" Target="../media/image724.png"/><Relationship Id="rId166" Type="http://schemas.openxmlformats.org/officeDocument/2006/relationships/image" Target="../media/image727.png"/><Relationship Id="rId51" Type="http://schemas.openxmlformats.org/officeDocument/2006/relationships/image" Target="../media/image609.png"/><Relationship Id="rId50" Type="http://schemas.openxmlformats.org/officeDocument/2006/relationships/image" Target="../media/image612.png"/><Relationship Id="rId53" Type="http://schemas.openxmlformats.org/officeDocument/2006/relationships/image" Target="../media/image606.png"/><Relationship Id="rId52" Type="http://schemas.openxmlformats.org/officeDocument/2006/relationships/image" Target="../media/image613.png"/><Relationship Id="rId55" Type="http://schemas.openxmlformats.org/officeDocument/2006/relationships/image" Target="../media/image617.png"/><Relationship Id="rId161" Type="http://schemas.openxmlformats.org/officeDocument/2006/relationships/image" Target="../media/image719.png"/><Relationship Id="rId54" Type="http://schemas.openxmlformats.org/officeDocument/2006/relationships/image" Target="../media/image608.png"/><Relationship Id="rId160" Type="http://schemas.openxmlformats.org/officeDocument/2006/relationships/image" Target="../media/image730.png"/><Relationship Id="rId57" Type="http://schemas.openxmlformats.org/officeDocument/2006/relationships/image" Target="../media/image616.png"/><Relationship Id="rId56" Type="http://schemas.openxmlformats.org/officeDocument/2006/relationships/image" Target="../media/image643.png"/><Relationship Id="rId159" Type="http://schemas.openxmlformats.org/officeDocument/2006/relationships/image" Target="../media/image718.png"/><Relationship Id="rId59" Type="http://schemas.openxmlformats.org/officeDocument/2006/relationships/image" Target="../media/image614.png"/><Relationship Id="rId154" Type="http://schemas.openxmlformats.org/officeDocument/2006/relationships/image" Target="../media/image709.png"/><Relationship Id="rId58" Type="http://schemas.openxmlformats.org/officeDocument/2006/relationships/image" Target="../media/image627.png"/><Relationship Id="rId153" Type="http://schemas.openxmlformats.org/officeDocument/2006/relationships/image" Target="../media/image716.png"/><Relationship Id="rId152" Type="http://schemas.openxmlformats.org/officeDocument/2006/relationships/image" Target="../media/image708.png"/><Relationship Id="rId151" Type="http://schemas.openxmlformats.org/officeDocument/2006/relationships/image" Target="../media/image713.png"/><Relationship Id="rId158" Type="http://schemas.openxmlformats.org/officeDocument/2006/relationships/image" Target="../media/image714.png"/><Relationship Id="rId157" Type="http://schemas.openxmlformats.org/officeDocument/2006/relationships/image" Target="../media/image710.png"/><Relationship Id="rId156" Type="http://schemas.openxmlformats.org/officeDocument/2006/relationships/image" Target="../media/image715.png"/><Relationship Id="rId155" Type="http://schemas.openxmlformats.org/officeDocument/2006/relationships/image" Target="../media/image712.png"/><Relationship Id="rId107" Type="http://schemas.openxmlformats.org/officeDocument/2006/relationships/image" Target="../media/image669.png"/><Relationship Id="rId106" Type="http://schemas.openxmlformats.org/officeDocument/2006/relationships/image" Target="../media/image665.png"/><Relationship Id="rId105" Type="http://schemas.openxmlformats.org/officeDocument/2006/relationships/image" Target="../media/image662.png"/><Relationship Id="rId104" Type="http://schemas.openxmlformats.org/officeDocument/2006/relationships/image" Target="../media/image661.png"/><Relationship Id="rId109" Type="http://schemas.openxmlformats.org/officeDocument/2006/relationships/image" Target="../media/image670.png"/><Relationship Id="rId108" Type="http://schemas.openxmlformats.org/officeDocument/2006/relationships/image" Target="../media/image666.png"/><Relationship Id="rId103" Type="http://schemas.openxmlformats.org/officeDocument/2006/relationships/image" Target="../media/image664.png"/><Relationship Id="rId102" Type="http://schemas.openxmlformats.org/officeDocument/2006/relationships/image" Target="../media/image663.png"/><Relationship Id="rId101" Type="http://schemas.openxmlformats.org/officeDocument/2006/relationships/image" Target="../media/image659.png"/><Relationship Id="rId100" Type="http://schemas.openxmlformats.org/officeDocument/2006/relationships/image" Target="../media/image660.png"/><Relationship Id="rId129" Type="http://schemas.openxmlformats.org/officeDocument/2006/relationships/image" Target="../media/image682.png"/><Relationship Id="rId128" Type="http://schemas.openxmlformats.org/officeDocument/2006/relationships/image" Target="../media/image693.png"/><Relationship Id="rId127" Type="http://schemas.openxmlformats.org/officeDocument/2006/relationships/image" Target="../media/image684.png"/><Relationship Id="rId126" Type="http://schemas.openxmlformats.org/officeDocument/2006/relationships/image" Target="../media/image681.png"/><Relationship Id="rId121" Type="http://schemas.openxmlformats.org/officeDocument/2006/relationships/image" Target="../media/image711.png"/><Relationship Id="rId120" Type="http://schemas.openxmlformats.org/officeDocument/2006/relationships/image" Target="../media/image677.png"/><Relationship Id="rId125" Type="http://schemas.openxmlformats.org/officeDocument/2006/relationships/image" Target="../media/image686.png"/><Relationship Id="rId124" Type="http://schemas.openxmlformats.org/officeDocument/2006/relationships/image" Target="../media/image678.png"/><Relationship Id="rId123" Type="http://schemas.openxmlformats.org/officeDocument/2006/relationships/image" Target="../media/image679.png"/><Relationship Id="rId122" Type="http://schemas.openxmlformats.org/officeDocument/2006/relationships/image" Target="../media/image701.png"/><Relationship Id="rId95" Type="http://schemas.openxmlformats.org/officeDocument/2006/relationships/image" Target="../media/image648.png"/><Relationship Id="rId94" Type="http://schemas.openxmlformats.org/officeDocument/2006/relationships/image" Target="../media/image658.png"/><Relationship Id="rId97" Type="http://schemas.openxmlformats.org/officeDocument/2006/relationships/image" Target="../media/image652.png"/><Relationship Id="rId96" Type="http://schemas.openxmlformats.org/officeDocument/2006/relationships/image" Target="../media/image651.png"/><Relationship Id="rId99" Type="http://schemas.openxmlformats.org/officeDocument/2006/relationships/image" Target="../media/image655.png"/><Relationship Id="rId98" Type="http://schemas.openxmlformats.org/officeDocument/2006/relationships/image" Target="../media/image657.png"/><Relationship Id="rId91" Type="http://schemas.openxmlformats.org/officeDocument/2006/relationships/image" Target="../media/image653.png"/><Relationship Id="rId90" Type="http://schemas.openxmlformats.org/officeDocument/2006/relationships/image" Target="../media/image640.png"/><Relationship Id="rId93" Type="http://schemas.openxmlformats.org/officeDocument/2006/relationships/image" Target="../media/image649.png"/><Relationship Id="rId92" Type="http://schemas.openxmlformats.org/officeDocument/2006/relationships/image" Target="../media/image656.png"/><Relationship Id="rId118" Type="http://schemas.openxmlformats.org/officeDocument/2006/relationships/image" Target="../media/image673.png"/><Relationship Id="rId117" Type="http://schemas.openxmlformats.org/officeDocument/2006/relationships/image" Target="../media/image671.png"/><Relationship Id="rId116" Type="http://schemas.openxmlformats.org/officeDocument/2006/relationships/image" Target="../media/image672.png"/><Relationship Id="rId115" Type="http://schemas.openxmlformats.org/officeDocument/2006/relationships/image" Target="../media/image675.png"/><Relationship Id="rId119" Type="http://schemas.openxmlformats.org/officeDocument/2006/relationships/image" Target="../media/image676.png"/><Relationship Id="rId110" Type="http://schemas.openxmlformats.org/officeDocument/2006/relationships/image" Target="../media/image667.png"/><Relationship Id="rId114" Type="http://schemas.openxmlformats.org/officeDocument/2006/relationships/image" Target="../media/image668.png"/><Relationship Id="rId113" Type="http://schemas.openxmlformats.org/officeDocument/2006/relationships/image" Target="../media/image695.png"/><Relationship Id="rId112" Type="http://schemas.openxmlformats.org/officeDocument/2006/relationships/image" Target="../media/image680.png"/><Relationship Id="rId111" Type="http://schemas.openxmlformats.org/officeDocument/2006/relationships/image" Target="../media/image674.png"/></Relationships>
</file>

<file path=xl/drawings/_rels/drawing9.xml.rels><?xml version="1.0" encoding="UTF-8" standalone="yes"?><Relationships xmlns="http://schemas.openxmlformats.org/package/2006/relationships"><Relationship Id="rId1" Type="http://schemas.openxmlformats.org/officeDocument/2006/relationships/image" Target="../media/image766.png"/><Relationship Id="rId2" Type="http://schemas.openxmlformats.org/officeDocument/2006/relationships/image" Target="../media/image761.png"/><Relationship Id="rId3" Type="http://schemas.openxmlformats.org/officeDocument/2006/relationships/image" Target="../media/image762.png"/><Relationship Id="rId4" Type="http://schemas.openxmlformats.org/officeDocument/2006/relationships/image" Target="../media/image758.png"/><Relationship Id="rId5" Type="http://schemas.openxmlformats.org/officeDocument/2006/relationships/image" Target="../media/image768.png"/><Relationship Id="rId6" Type="http://schemas.openxmlformats.org/officeDocument/2006/relationships/image" Target="../media/image760.png"/><Relationship Id="rId7" Type="http://schemas.openxmlformats.org/officeDocument/2006/relationships/image" Target="../media/image759.png"/><Relationship Id="rId8" Type="http://schemas.openxmlformats.org/officeDocument/2006/relationships/image" Target="../media/image76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66.png"/><Relationship Id="rId2" Type="http://schemas.openxmlformats.org/officeDocument/2006/relationships/image" Target="../media/image761.png"/><Relationship Id="rId3" Type="http://schemas.openxmlformats.org/officeDocument/2006/relationships/image" Target="../media/image762.png"/><Relationship Id="rId4" Type="http://schemas.openxmlformats.org/officeDocument/2006/relationships/image" Target="../media/image758.png"/><Relationship Id="rId5" Type="http://schemas.openxmlformats.org/officeDocument/2006/relationships/image" Target="../media/image768.png"/><Relationship Id="rId6" Type="http://schemas.openxmlformats.org/officeDocument/2006/relationships/image" Target="../media/image760.png"/><Relationship Id="rId7" Type="http://schemas.openxmlformats.org/officeDocument/2006/relationships/image" Target="../media/image759.png"/><Relationship Id="rId8" Type="http://schemas.openxmlformats.org/officeDocument/2006/relationships/image" Target="../media/image76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66.png"/><Relationship Id="rId2" Type="http://schemas.openxmlformats.org/officeDocument/2006/relationships/image" Target="../media/image761.png"/><Relationship Id="rId3" Type="http://schemas.openxmlformats.org/officeDocument/2006/relationships/image" Target="../media/image762.png"/><Relationship Id="rId4" Type="http://schemas.openxmlformats.org/officeDocument/2006/relationships/image" Target="../media/image758.png"/><Relationship Id="rId5" Type="http://schemas.openxmlformats.org/officeDocument/2006/relationships/image" Target="../media/image768.png"/><Relationship Id="rId6" Type="http://schemas.openxmlformats.org/officeDocument/2006/relationships/image" Target="../media/image760.png"/><Relationship Id="rId7" Type="http://schemas.openxmlformats.org/officeDocument/2006/relationships/image" Target="../media/image759.png"/><Relationship Id="rId8" Type="http://schemas.openxmlformats.org/officeDocument/2006/relationships/image" Target="../media/image76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66.png"/><Relationship Id="rId2" Type="http://schemas.openxmlformats.org/officeDocument/2006/relationships/image" Target="../media/image761.png"/><Relationship Id="rId3" Type="http://schemas.openxmlformats.org/officeDocument/2006/relationships/image" Target="../media/image762.png"/><Relationship Id="rId4" Type="http://schemas.openxmlformats.org/officeDocument/2006/relationships/image" Target="../media/image758.png"/><Relationship Id="rId5" Type="http://schemas.openxmlformats.org/officeDocument/2006/relationships/image" Target="../media/image768.png"/><Relationship Id="rId6" Type="http://schemas.openxmlformats.org/officeDocument/2006/relationships/image" Target="../media/image760.png"/><Relationship Id="rId7" Type="http://schemas.openxmlformats.org/officeDocument/2006/relationships/image" Target="../media/image759.png"/><Relationship Id="rId8" Type="http://schemas.openxmlformats.org/officeDocument/2006/relationships/image" Target="../media/image76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26670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xdr:row>
      <xdr:rowOff>0</xdr:rowOff>
    </xdr:from>
    <xdr:ext cx="466725" cy="266700"/>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11</xdr:row>
      <xdr:rowOff>0</xdr:rowOff>
    </xdr:from>
    <xdr:ext cx="266700" cy="2667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18</xdr:row>
      <xdr:rowOff>0</xdr:rowOff>
    </xdr:from>
    <xdr:ext cx="266700" cy="26670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19</xdr:row>
      <xdr:rowOff>0</xdr:rowOff>
    </xdr:from>
    <xdr:ext cx="466725" cy="266700"/>
    <xdr:pic>
      <xdr:nvPicPr>
        <xdr:cNvPr id="0" name="image24.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22</xdr:row>
      <xdr:rowOff>0</xdr:rowOff>
    </xdr:from>
    <xdr:ext cx="704850" cy="266700"/>
    <xdr:pic>
      <xdr:nvPicPr>
        <xdr:cNvPr id="0" name="image5.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29</xdr:row>
      <xdr:rowOff>0</xdr:rowOff>
    </xdr:from>
    <xdr:ext cx="266700" cy="266700"/>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xdr:row>
      <xdr:rowOff>0</xdr:rowOff>
    </xdr:from>
    <xdr:ext cx="809625" cy="809625"/>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2</xdr:row>
      <xdr:rowOff>0</xdr:rowOff>
    </xdr:from>
    <xdr:ext cx="809625" cy="8096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xdr:row>
      <xdr:rowOff>0</xdr:rowOff>
    </xdr:from>
    <xdr:ext cx="809625" cy="8096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3</xdr:row>
      <xdr:rowOff>0</xdr:rowOff>
    </xdr:from>
    <xdr:ext cx="809625" cy="809625"/>
    <xdr:pic>
      <xdr:nvPicPr>
        <xdr:cNvPr id="0" name="image30.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3</xdr:row>
      <xdr:rowOff>0</xdr:rowOff>
    </xdr:from>
    <xdr:ext cx="809625" cy="809625"/>
    <xdr:pic>
      <xdr:nvPicPr>
        <xdr:cNvPr id="0" name="image2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3</xdr:row>
      <xdr:rowOff>0</xdr:rowOff>
    </xdr:from>
    <xdr:ext cx="809625" cy="8096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3</xdr:row>
      <xdr:rowOff>0</xdr:rowOff>
    </xdr:from>
    <xdr:ext cx="809625" cy="809625"/>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xdr:row>
      <xdr:rowOff>0</xdr:rowOff>
    </xdr:from>
    <xdr:ext cx="809625" cy="809625"/>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4</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4</xdr:row>
      <xdr:rowOff>0</xdr:rowOff>
    </xdr:from>
    <xdr:ext cx="809625" cy="809625"/>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4</xdr:row>
      <xdr:rowOff>0</xdr:rowOff>
    </xdr:from>
    <xdr:ext cx="809625" cy="809625"/>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5</xdr:row>
      <xdr:rowOff>0</xdr:rowOff>
    </xdr:from>
    <xdr:ext cx="809625" cy="8096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5</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809625" cy="8096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809625" cy="809625"/>
    <xdr:pic>
      <xdr:nvPicPr>
        <xdr:cNvPr id="0" name="image19.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6</xdr:row>
      <xdr:rowOff>0</xdr:rowOff>
    </xdr:from>
    <xdr:ext cx="809625" cy="809625"/>
    <xdr:pic>
      <xdr:nvPicPr>
        <xdr:cNvPr id="0" name="image108.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6</xdr:row>
      <xdr:rowOff>0</xdr:rowOff>
    </xdr:from>
    <xdr:ext cx="809625" cy="809625"/>
    <xdr:pic>
      <xdr:nvPicPr>
        <xdr:cNvPr id="0" name="image28.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6</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7</xdr:row>
      <xdr:rowOff>0</xdr:rowOff>
    </xdr:from>
    <xdr:ext cx="809625" cy="809625"/>
    <xdr:pic>
      <xdr:nvPicPr>
        <xdr:cNvPr id="0" name="image35.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7</xdr:row>
      <xdr:rowOff>0</xdr:rowOff>
    </xdr:from>
    <xdr:ext cx="809625" cy="8096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7</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7</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xdr:row>
      <xdr:rowOff>0</xdr:rowOff>
    </xdr:from>
    <xdr:ext cx="809625" cy="809625"/>
    <xdr:pic>
      <xdr:nvPicPr>
        <xdr:cNvPr id="0" name="image36.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8</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8</xdr:row>
      <xdr:rowOff>0</xdr:rowOff>
    </xdr:from>
    <xdr:ext cx="809625" cy="8096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8</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809625" cy="809625"/>
    <xdr:pic>
      <xdr:nvPicPr>
        <xdr:cNvPr id="0" name="image32.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9</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9</xdr:row>
      <xdr:rowOff>0</xdr:rowOff>
    </xdr:from>
    <xdr:ext cx="809625" cy="8096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9</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xdr:row>
      <xdr:rowOff>0</xdr:rowOff>
    </xdr:from>
    <xdr:ext cx="809625" cy="809625"/>
    <xdr:pic>
      <xdr:nvPicPr>
        <xdr:cNvPr id="0" name="image34.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10</xdr:row>
      <xdr:rowOff>0</xdr:rowOff>
    </xdr:from>
    <xdr:ext cx="809625" cy="809625"/>
    <xdr:pic>
      <xdr:nvPicPr>
        <xdr:cNvPr id="0" name="image9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10</xdr:row>
      <xdr:rowOff>0</xdr:rowOff>
    </xdr:from>
    <xdr:ext cx="809625" cy="8096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10</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11</xdr:row>
      <xdr:rowOff>0</xdr:rowOff>
    </xdr:from>
    <xdr:ext cx="809625" cy="8096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11</xdr:row>
      <xdr:rowOff>0</xdr:rowOff>
    </xdr:from>
    <xdr:ext cx="809625" cy="809625"/>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11</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11</xdr:row>
      <xdr:rowOff>0</xdr:rowOff>
    </xdr:from>
    <xdr:ext cx="809625" cy="809625"/>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12</xdr:row>
      <xdr:rowOff>0</xdr:rowOff>
    </xdr:from>
    <xdr:ext cx="809625" cy="809625"/>
    <xdr:pic>
      <xdr:nvPicPr>
        <xdr:cNvPr id="0" name="image32.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12</xdr:row>
      <xdr:rowOff>0</xdr:rowOff>
    </xdr:from>
    <xdr:ext cx="809625" cy="8096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12</xdr:row>
      <xdr:rowOff>0</xdr:rowOff>
    </xdr:from>
    <xdr:ext cx="809625" cy="809625"/>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12</xdr:row>
      <xdr:rowOff>0</xdr:rowOff>
    </xdr:from>
    <xdr:ext cx="809625" cy="809625"/>
    <xdr:pic>
      <xdr:nvPicPr>
        <xdr:cNvPr id="0" name="image43.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13</xdr:row>
      <xdr:rowOff>0</xdr:rowOff>
    </xdr:from>
    <xdr:ext cx="809625" cy="809625"/>
    <xdr:pic>
      <xdr:nvPicPr>
        <xdr:cNvPr id="0" name="image34.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13</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13</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13</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14</xdr:row>
      <xdr:rowOff>0</xdr:rowOff>
    </xdr:from>
    <xdr:ext cx="809625" cy="809625"/>
    <xdr:pic>
      <xdr:nvPicPr>
        <xdr:cNvPr id="0" name="image42.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14</xdr:row>
      <xdr:rowOff>0</xdr:rowOff>
    </xdr:from>
    <xdr:ext cx="809625" cy="809625"/>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14</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14</xdr:row>
      <xdr:rowOff>0</xdr:rowOff>
    </xdr:from>
    <xdr:ext cx="809625" cy="809625"/>
    <xdr:pic>
      <xdr:nvPicPr>
        <xdr:cNvPr id="0" name="image38.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15</xdr:row>
      <xdr:rowOff>0</xdr:rowOff>
    </xdr:from>
    <xdr:ext cx="809625" cy="8096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15</xdr:row>
      <xdr:rowOff>0</xdr:rowOff>
    </xdr:from>
    <xdr:ext cx="809625" cy="809625"/>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15</xdr:row>
      <xdr:rowOff>0</xdr:rowOff>
    </xdr:from>
    <xdr:ext cx="809625" cy="8096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15</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16</xdr:row>
      <xdr:rowOff>0</xdr:rowOff>
    </xdr:from>
    <xdr:ext cx="809625" cy="809625"/>
    <xdr:pic>
      <xdr:nvPicPr>
        <xdr:cNvPr id="0" name="image41.pn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16</xdr:row>
      <xdr:rowOff>0</xdr:rowOff>
    </xdr:from>
    <xdr:ext cx="809625" cy="809625"/>
    <xdr:pic>
      <xdr:nvPicPr>
        <xdr:cNvPr id="0" name="image2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16</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16</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17</xdr:row>
      <xdr:rowOff>0</xdr:rowOff>
    </xdr:from>
    <xdr:ext cx="809625" cy="809625"/>
    <xdr:pic>
      <xdr:nvPicPr>
        <xdr:cNvPr id="0" name="image39.pn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17</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17</xdr:row>
      <xdr:rowOff>0</xdr:rowOff>
    </xdr:from>
    <xdr:ext cx="809625" cy="8096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17</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18</xdr:row>
      <xdr:rowOff>0</xdr:rowOff>
    </xdr:from>
    <xdr:ext cx="809625" cy="809625"/>
    <xdr:pic>
      <xdr:nvPicPr>
        <xdr:cNvPr id="0" name="image44.pn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18</xdr:row>
      <xdr:rowOff>0</xdr:rowOff>
    </xdr:from>
    <xdr:ext cx="809625" cy="8096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18</xdr:row>
      <xdr:rowOff>0</xdr:rowOff>
    </xdr:from>
    <xdr:ext cx="809625" cy="8096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18</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19</xdr:row>
      <xdr:rowOff>0</xdr:rowOff>
    </xdr:from>
    <xdr:ext cx="809625" cy="809625"/>
    <xdr:pic>
      <xdr:nvPicPr>
        <xdr:cNvPr id="0" name="image45.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19</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19</xdr:row>
      <xdr:rowOff>0</xdr:rowOff>
    </xdr:from>
    <xdr:ext cx="809625" cy="8096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19</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20</xdr:row>
      <xdr:rowOff>0</xdr:rowOff>
    </xdr:from>
    <xdr:ext cx="809625" cy="809625"/>
    <xdr:pic>
      <xdr:nvPicPr>
        <xdr:cNvPr id="0" name="image46.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20</xdr:row>
      <xdr:rowOff>0</xdr:rowOff>
    </xdr:from>
    <xdr:ext cx="809625" cy="8096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809625" cy="8096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20</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21</xdr:row>
      <xdr:rowOff>0</xdr:rowOff>
    </xdr:from>
    <xdr:ext cx="809625" cy="809625"/>
    <xdr:pic>
      <xdr:nvPicPr>
        <xdr:cNvPr id="0" name="image53.pn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21</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21</xdr:row>
      <xdr:rowOff>0</xdr:rowOff>
    </xdr:from>
    <xdr:ext cx="809625" cy="8096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21</xdr:row>
      <xdr:rowOff>0</xdr:rowOff>
    </xdr:from>
    <xdr:ext cx="809625" cy="8096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22</xdr:row>
      <xdr:rowOff>0</xdr:rowOff>
    </xdr:from>
    <xdr:ext cx="809625" cy="809625"/>
    <xdr:pic>
      <xdr:nvPicPr>
        <xdr:cNvPr id="0" name="image52.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22</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22</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22</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23</xdr:row>
      <xdr:rowOff>0</xdr:rowOff>
    </xdr:from>
    <xdr:ext cx="809625" cy="809625"/>
    <xdr:pic>
      <xdr:nvPicPr>
        <xdr:cNvPr id="0" name="image47.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23</xdr:row>
      <xdr:rowOff>0</xdr:rowOff>
    </xdr:from>
    <xdr:ext cx="809625" cy="809625"/>
    <xdr:pic>
      <xdr:nvPicPr>
        <xdr:cNvPr id="0" name="image49.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23</xdr:row>
      <xdr:rowOff>0</xdr:rowOff>
    </xdr:from>
    <xdr:ext cx="809625" cy="809625"/>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23</xdr:row>
      <xdr:rowOff>0</xdr:rowOff>
    </xdr:from>
    <xdr:ext cx="809625" cy="8096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0</xdr:rowOff>
    </xdr:from>
    <xdr:ext cx="809625" cy="809625"/>
    <xdr:pic>
      <xdr:nvPicPr>
        <xdr:cNvPr id="0" name="image47.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24</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24</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24</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809625" cy="809625"/>
    <xdr:pic>
      <xdr:nvPicPr>
        <xdr:cNvPr id="0" name="image50.pn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25</xdr:row>
      <xdr:rowOff>0</xdr:rowOff>
    </xdr:from>
    <xdr:ext cx="809625" cy="809625"/>
    <xdr:pic>
      <xdr:nvPicPr>
        <xdr:cNvPr id="0" name="image48.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25</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25</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809625" cy="809625"/>
    <xdr:pic>
      <xdr:nvPicPr>
        <xdr:cNvPr id="0" name="image61.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26</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26</xdr:row>
      <xdr:rowOff>0</xdr:rowOff>
    </xdr:from>
    <xdr:ext cx="809625" cy="809625"/>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26</xdr:row>
      <xdr:rowOff>0</xdr:rowOff>
    </xdr:from>
    <xdr:ext cx="809625" cy="809625"/>
    <xdr:pic>
      <xdr:nvPicPr>
        <xdr:cNvPr id="0" name="image57.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27</xdr:row>
      <xdr:rowOff>0</xdr:rowOff>
    </xdr:from>
    <xdr:ext cx="809625" cy="809625"/>
    <xdr:pic>
      <xdr:nvPicPr>
        <xdr:cNvPr id="0" name="image59.png"/>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0</xdr:colOff>
      <xdr:row>27</xdr:row>
      <xdr:rowOff>0</xdr:rowOff>
    </xdr:from>
    <xdr:ext cx="809625" cy="809625"/>
    <xdr:pic>
      <xdr:nvPicPr>
        <xdr:cNvPr id="0" name="image56.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27</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27</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28</xdr:row>
      <xdr:rowOff>0</xdr:rowOff>
    </xdr:from>
    <xdr:ext cx="809625" cy="809625"/>
    <xdr:pic>
      <xdr:nvPicPr>
        <xdr:cNvPr id="0" name="image61.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28</xdr:row>
      <xdr:rowOff>0</xdr:rowOff>
    </xdr:from>
    <xdr:ext cx="809625" cy="8096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28</xdr:row>
      <xdr:rowOff>0</xdr:rowOff>
    </xdr:from>
    <xdr:ext cx="809625" cy="809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28</xdr:row>
      <xdr:rowOff>0</xdr:rowOff>
    </xdr:from>
    <xdr:ext cx="809625" cy="8096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29</xdr:row>
      <xdr:rowOff>0</xdr:rowOff>
    </xdr:from>
    <xdr:ext cx="809625" cy="809625"/>
    <xdr:pic>
      <xdr:nvPicPr>
        <xdr:cNvPr id="0" name="image55.png"/>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0</xdr:colOff>
      <xdr:row>29</xdr:row>
      <xdr:rowOff>0</xdr:rowOff>
    </xdr:from>
    <xdr:ext cx="809625" cy="809625"/>
    <xdr:pic>
      <xdr:nvPicPr>
        <xdr:cNvPr id="0" name="image28.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809625" cy="809625"/>
    <xdr:pic>
      <xdr:nvPicPr>
        <xdr:cNvPr id="0" name="image65.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29</xdr:row>
      <xdr:rowOff>0</xdr:rowOff>
    </xdr:from>
    <xdr:ext cx="809625" cy="809625"/>
    <xdr:pic>
      <xdr:nvPicPr>
        <xdr:cNvPr id="0" name="image43.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30</xdr:row>
      <xdr:rowOff>0</xdr:rowOff>
    </xdr:from>
    <xdr:ext cx="809625" cy="809625"/>
    <xdr:pic>
      <xdr:nvPicPr>
        <xdr:cNvPr id="0" name="image30.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30</xdr:row>
      <xdr:rowOff>0</xdr:rowOff>
    </xdr:from>
    <xdr:ext cx="809625" cy="8096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30</xdr:row>
      <xdr:rowOff>0</xdr:rowOff>
    </xdr:from>
    <xdr:ext cx="809625" cy="809625"/>
    <xdr:pic>
      <xdr:nvPicPr>
        <xdr:cNvPr id="0" name="image58.png"/>
        <xdr:cNvPicPr preferRelativeResize="0"/>
      </xdr:nvPicPr>
      <xdr:blipFill>
        <a:blip cstate="print" r:embed="rId48"/>
        <a:stretch>
          <a:fillRect/>
        </a:stretch>
      </xdr:blipFill>
      <xdr:spPr>
        <a:prstGeom prst="rect">
          <a:avLst/>
        </a:prstGeom>
        <a:noFill/>
      </xdr:spPr>
    </xdr:pic>
    <xdr:clientData fLocksWithSheet="0"/>
  </xdr:oneCellAnchor>
  <xdr:oneCellAnchor>
    <xdr:from>
      <xdr:col>6</xdr:col>
      <xdr:colOff>0</xdr:colOff>
      <xdr:row>30</xdr:row>
      <xdr:rowOff>0</xdr:rowOff>
    </xdr:from>
    <xdr:ext cx="809625" cy="809625"/>
    <xdr:pic>
      <xdr:nvPicPr>
        <xdr:cNvPr id="0" name="image51.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31</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31</xdr:row>
      <xdr:rowOff>0</xdr:rowOff>
    </xdr:from>
    <xdr:ext cx="809625" cy="809625"/>
    <xdr:pic>
      <xdr:nvPicPr>
        <xdr:cNvPr id="0" name="image54.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31</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31</xdr:row>
      <xdr:rowOff>0</xdr:rowOff>
    </xdr:from>
    <xdr:ext cx="809625" cy="809625"/>
    <xdr:pic>
      <xdr:nvPicPr>
        <xdr:cNvPr id="0" name="image62.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32</xdr:row>
      <xdr:rowOff>0</xdr:rowOff>
    </xdr:from>
    <xdr:ext cx="809625" cy="8096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2</xdr:col>
      <xdr:colOff>0</xdr:colOff>
      <xdr:row>32</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32</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32</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33</xdr:row>
      <xdr:rowOff>0</xdr:rowOff>
    </xdr:from>
    <xdr:ext cx="809625" cy="809625"/>
    <xdr:pic>
      <xdr:nvPicPr>
        <xdr:cNvPr id="0" name="image63.png"/>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0</xdr:colOff>
      <xdr:row>33</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33</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33</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34</xdr:row>
      <xdr:rowOff>0</xdr:rowOff>
    </xdr:from>
    <xdr:ext cx="809625" cy="809625"/>
    <xdr:pic>
      <xdr:nvPicPr>
        <xdr:cNvPr id="0" name="image64.png"/>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0</xdr:colOff>
      <xdr:row>34</xdr:row>
      <xdr:rowOff>0</xdr:rowOff>
    </xdr:from>
    <xdr:ext cx="809625" cy="809625"/>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34</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34</xdr:row>
      <xdr:rowOff>0</xdr:rowOff>
    </xdr:from>
    <xdr:ext cx="809625" cy="8096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35</xdr:row>
      <xdr:rowOff>0</xdr:rowOff>
    </xdr:from>
    <xdr:ext cx="809625" cy="809625"/>
    <xdr:pic>
      <xdr:nvPicPr>
        <xdr:cNvPr id="0" name="image66.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35</xdr:row>
      <xdr:rowOff>0</xdr:rowOff>
    </xdr:from>
    <xdr:ext cx="809625" cy="8096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35</xdr:row>
      <xdr:rowOff>0</xdr:rowOff>
    </xdr:from>
    <xdr:ext cx="809625" cy="8096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35</xdr:row>
      <xdr:rowOff>0</xdr:rowOff>
    </xdr:from>
    <xdr:ext cx="809625" cy="809625"/>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36</xdr:row>
      <xdr:rowOff>0</xdr:rowOff>
    </xdr:from>
    <xdr:ext cx="809625" cy="8096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2</xdr:col>
      <xdr:colOff>0</xdr:colOff>
      <xdr:row>36</xdr:row>
      <xdr:rowOff>0</xdr:rowOff>
    </xdr:from>
    <xdr:ext cx="809625" cy="8096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36</xdr:row>
      <xdr:rowOff>0</xdr:rowOff>
    </xdr:from>
    <xdr:ext cx="809625" cy="809625"/>
    <xdr:pic>
      <xdr:nvPicPr>
        <xdr:cNvPr id="0" name="image77.png"/>
        <xdr:cNvPicPr preferRelativeResize="0"/>
      </xdr:nvPicPr>
      <xdr:blipFill>
        <a:blip cstate="print" r:embed="rId57"/>
        <a:stretch>
          <a:fillRect/>
        </a:stretch>
      </xdr:blipFill>
      <xdr:spPr>
        <a:prstGeom prst="rect">
          <a:avLst/>
        </a:prstGeom>
        <a:noFill/>
      </xdr:spPr>
    </xdr:pic>
    <xdr:clientData fLocksWithSheet="0"/>
  </xdr:oneCellAnchor>
  <xdr:oneCellAnchor>
    <xdr:from>
      <xdr:col>6</xdr:col>
      <xdr:colOff>0</xdr:colOff>
      <xdr:row>36</xdr:row>
      <xdr:rowOff>0</xdr:rowOff>
    </xdr:from>
    <xdr:ext cx="809625" cy="809625"/>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047750" cy="1047750"/>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1047750" cy="1047750"/>
    <xdr:pic>
      <xdr:nvPicPr>
        <xdr:cNvPr id="0" name="image6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1047750" cy="1047750"/>
    <xdr:pic>
      <xdr:nvPicPr>
        <xdr:cNvPr id="0" name="image70.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1047750" cy="1047750"/>
    <xdr:pic>
      <xdr:nvPicPr>
        <xdr:cNvPr id="0" name="image6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1047750" cy="1047750"/>
    <xdr:pic>
      <xdr:nvPicPr>
        <xdr:cNvPr id="0" name="image71.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1047750" cy="1047750"/>
    <xdr:pic>
      <xdr:nvPicPr>
        <xdr:cNvPr id="0" name="image74.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1047750" cy="1047750"/>
    <xdr:pic>
      <xdr:nvPicPr>
        <xdr:cNvPr id="0" name="image76.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1047750" cy="1047750"/>
    <xdr:pic>
      <xdr:nvPicPr>
        <xdr:cNvPr id="0" name="image75.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xdr:row>
      <xdr:rowOff>0</xdr:rowOff>
    </xdr:from>
    <xdr:ext cx="1047750" cy="1047750"/>
    <xdr:pic>
      <xdr:nvPicPr>
        <xdr:cNvPr id="0" name="image72.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10</xdr:row>
      <xdr:rowOff>0</xdr:rowOff>
    </xdr:from>
    <xdr:ext cx="1047750" cy="1047750"/>
    <xdr:pic>
      <xdr:nvPicPr>
        <xdr:cNvPr id="0" name="image78.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11</xdr:row>
      <xdr:rowOff>0</xdr:rowOff>
    </xdr:from>
    <xdr:ext cx="1047750" cy="1047750"/>
    <xdr:pic>
      <xdr:nvPicPr>
        <xdr:cNvPr id="0" name="image79.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xdr:row>
      <xdr:rowOff>0</xdr:rowOff>
    </xdr:from>
    <xdr:ext cx="1047750" cy="1047750"/>
    <xdr:pic>
      <xdr:nvPicPr>
        <xdr:cNvPr id="0" name="image81.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13</xdr:row>
      <xdr:rowOff>0</xdr:rowOff>
    </xdr:from>
    <xdr:ext cx="1047750" cy="1047750"/>
    <xdr:pic>
      <xdr:nvPicPr>
        <xdr:cNvPr id="0" name="image84.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14</xdr:row>
      <xdr:rowOff>0</xdr:rowOff>
    </xdr:from>
    <xdr:ext cx="1047750" cy="1047750"/>
    <xdr:pic>
      <xdr:nvPicPr>
        <xdr:cNvPr id="0" name="image73.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15</xdr:row>
      <xdr:rowOff>0</xdr:rowOff>
    </xdr:from>
    <xdr:ext cx="1047750" cy="1047750"/>
    <xdr:pic>
      <xdr:nvPicPr>
        <xdr:cNvPr id="0" name="image86.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16</xdr:row>
      <xdr:rowOff>0</xdr:rowOff>
    </xdr:from>
    <xdr:ext cx="1047750" cy="1047750"/>
    <xdr:pic>
      <xdr:nvPicPr>
        <xdr:cNvPr id="0" name="image83.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17</xdr:row>
      <xdr:rowOff>0</xdr:rowOff>
    </xdr:from>
    <xdr:ext cx="1047750" cy="1047750"/>
    <xdr:pic>
      <xdr:nvPicPr>
        <xdr:cNvPr id="0" name="image103.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18</xdr:row>
      <xdr:rowOff>0</xdr:rowOff>
    </xdr:from>
    <xdr:ext cx="1047750" cy="1047750"/>
    <xdr:pic>
      <xdr:nvPicPr>
        <xdr:cNvPr id="0" name="image80.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19</xdr:row>
      <xdr:rowOff>0</xdr:rowOff>
    </xdr:from>
    <xdr:ext cx="1047750" cy="1047750"/>
    <xdr:pic>
      <xdr:nvPicPr>
        <xdr:cNvPr id="0" name="image82.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20</xdr:row>
      <xdr:rowOff>0</xdr:rowOff>
    </xdr:from>
    <xdr:ext cx="1047750" cy="1047750"/>
    <xdr:pic>
      <xdr:nvPicPr>
        <xdr:cNvPr id="0" name="image85.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21</xdr:row>
      <xdr:rowOff>0</xdr:rowOff>
    </xdr:from>
    <xdr:ext cx="1038225" cy="1038225"/>
    <xdr:pic>
      <xdr:nvPicPr>
        <xdr:cNvPr id="0" name="image99.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22</xdr:row>
      <xdr:rowOff>0</xdr:rowOff>
    </xdr:from>
    <xdr:ext cx="1047750" cy="1047750"/>
    <xdr:pic>
      <xdr:nvPicPr>
        <xdr:cNvPr id="0" name="image88.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23</xdr:row>
      <xdr:rowOff>0</xdr:rowOff>
    </xdr:from>
    <xdr:ext cx="1047750" cy="1047750"/>
    <xdr:pic>
      <xdr:nvPicPr>
        <xdr:cNvPr id="0" name="image95.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24</xdr:row>
      <xdr:rowOff>0</xdr:rowOff>
    </xdr:from>
    <xdr:ext cx="1047750" cy="1047750"/>
    <xdr:pic>
      <xdr:nvPicPr>
        <xdr:cNvPr id="0" name="image90.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25</xdr:row>
      <xdr:rowOff>0</xdr:rowOff>
    </xdr:from>
    <xdr:ext cx="1047750" cy="1047750"/>
    <xdr:pic>
      <xdr:nvPicPr>
        <xdr:cNvPr id="0" name="image92.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26</xdr:row>
      <xdr:rowOff>0</xdr:rowOff>
    </xdr:from>
    <xdr:ext cx="1047750" cy="1047750"/>
    <xdr:pic>
      <xdr:nvPicPr>
        <xdr:cNvPr id="0" name="image89.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27</xdr:row>
      <xdr:rowOff>0</xdr:rowOff>
    </xdr:from>
    <xdr:ext cx="1047750" cy="1047750"/>
    <xdr:pic>
      <xdr:nvPicPr>
        <xdr:cNvPr id="0" name="image87.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28</xdr:row>
      <xdr:rowOff>0</xdr:rowOff>
    </xdr:from>
    <xdr:ext cx="1047750" cy="1047750"/>
    <xdr:pic>
      <xdr:nvPicPr>
        <xdr:cNvPr id="0" name="image98.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29</xdr:row>
      <xdr:rowOff>0</xdr:rowOff>
    </xdr:from>
    <xdr:ext cx="1047750" cy="1047750"/>
    <xdr:pic>
      <xdr:nvPicPr>
        <xdr:cNvPr id="0" name="image93.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30</xdr:row>
      <xdr:rowOff>0</xdr:rowOff>
    </xdr:from>
    <xdr:ext cx="1047750" cy="1047750"/>
    <xdr:pic>
      <xdr:nvPicPr>
        <xdr:cNvPr id="0" name="image96.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31</xdr:row>
      <xdr:rowOff>0</xdr:rowOff>
    </xdr:from>
    <xdr:ext cx="1038225" cy="1038225"/>
    <xdr:pic>
      <xdr:nvPicPr>
        <xdr:cNvPr id="0" name="image102.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32</xdr:row>
      <xdr:rowOff>0</xdr:rowOff>
    </xdr:from>
    <xdr:ext cx="1047750" cy="1047750"/>
    <xdr:pic>
      <xdr:nvPicPr>
        <xdr:cNvPr id="0" name="image94.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33</xdr:row>
      <xdr:rowOff>0</xdr:rowOff>
    </xdr:from>
    <xdr:ext cx="1047750" cy="1047750"/>
    <xdr:pic>
      <xdr:nvPicPr>
        <xdr:cNvPr id="0" name="image101.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34</xdr:row>
      <xdr:rowOff>0</xdr:rowOff>
    </xdr:from>
    <xdr:ext cx="1047750" cy="1047750"/>
    <xdr:pic>
      <xdr:nvPicPr>
        <xdr:cNvPr id="0" name="image110.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35</xdr:row>
      <xdr:rowOff>0</xdr:rowOff>
    </xdr:from>
    <xdr:ext cx="1047750" cy="1047750"/>
    <xdr:pic>
      <xdr:nvPicPr>
        <xdr:cNvPr id="0" name="image97.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36</xdr:row>
      <xdr:rowOff>0</xdr:rowOff>
    </xdr:from>
    <xdr:ext cx="1047750" cy="1047750"/>
    <xdr:pic>
      <xdr:nvPicPr>
        <xdr:cNvPr id="0" name="image100.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37</xdr:row>
      <xdr:rowOff>0</xdr:rowOff>
    </xdr:from>
    <xdr:ext cx="1047750" cy="1047750"/>
    <xdr:pic>
      <xdr:nvPicPr>
        <xdr:cNvPr id="0" name="image105.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38</xdr:row>
      <xdr:rowOff>0</xdr:rowOff>
    </xdr:from>
    <xdr:ext cx="1047750" cy="1047750"/>
    <xdr:pic>
      <xdr:nvPicPr>
        <xdr:cNvPr id="0" name="image120.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39</xdr:row>
      <xdr:rowOff>0</xdr:rowOff>
    </xdr:from>
    <xdr:ext cx="1047750" cy="1047750"/>
    <xdr:pic>
      <xdr:nvPicPr>
        <xdr:cNvPr id="0" name="image109.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40</xdr:row>
      <xdr:rowOff>0</xdr:rowOff>
    </xdr:from>
    <xdr:ext cx="1047750" cy="1047750"/>
    <xdr:pic>
      <xdr:nvPicPr>
        <xdr:cNvPr id="0" name="image106.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41</xdr:row>
      <xdr:rowOff>0</xdr:rowOff>
    </xdr:from>
    <xdr:ext cx="1047750" cy="1047750"/>
    <xdr:pic>
      <xdr:nvPicPr>
        <xdr:cNvPr id="0" name="image104.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42</xdr:row>
      <xdr:rowOff>0</xdr:rowOff>
    </xdr:from>
    <xdr:ext cx="1047750" cy="1047750"/>
    <xdr:pic>
      <xdr:nvPicPr>
        <xdr:cNvPr id="0" name="image107.pn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43</xdr:row>
      <xdr:rowOff>0</xdr:rowOff>
    </xdr:from>
    <xdr:ext cx="1047750" cy="1047750"/>
    <xdr:pic>
      <xdr:nvPicPr>
        <xdr:cNvPr id="0" name="image111.pn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44</xdr:row>
      <xdr:rowOff>0</xdr:rowOff>
    </xdr:from>
    <xdr:ext cx="1047750" cy="1047750"/>
    <xdr:pic>
      <xdr:nvPicPr>
        <xdr:cNvPr id="0" name="image114.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45</xdr:row>
      <xdr:rowOff>0</xdr:rowOff>
    </xdr:from>
    <xdr:ext cx="1047750" cy="1047750"/>
    <xdr:pic>
      <xdr:nvPicPr>
        <xdr:cNvPr id="0" name="image112.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46</xdr:row>
      <xdr:rowOff>0</xdr:rowOff>
    </xdr:from>
    <xdr:ext cx="1047750" cy="1047750"/>
    <xdr:pic>
      <xdr:nvPicPr>
        <xdr:cNvPr id="0" name="image130.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47</xdr:row>
      <xdr:rowOff>0</xdr:rowOff>
    </xdr:from>
    <xdr:ext cx="1047750" cy="1047750"/>
    <xdr:pic>
      <xdr:nvPicPr>
        <xdr:cNvPr id="0" name="image113.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48</xdr:row>
      <xdr:rowOff>0</xdr:rowOff>
    </xdr:from>
    <xdr:ext cx="1047750" cy="1047750"/>
    <xdr:pic>
      <xdr:nvPicPr>
        <xdr:cNvPr id="0" name="image134.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49</xdr:row>
      <xdr:rowOff>0</xdr:rowOff>
    </xdr:from>
    <xdr:ext cx="1047750" cy="1047750"/>
    <xdr:pic>
      <xdr:nvPicPr>
        <xdr:cNvPr id="0" name="image118.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50</xdr:row>
      <xdr:rowOff>0</xdr:rowOff>
    </xdr:from>
    <xdr:ext cx="1047750" cy="1047750"/>
    <xdr:pic>
      <xdr:nvPicPr>
        <xdr:cNvPr id="0" name="image135.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51</xdr:row>
      <xdr:rowOff>0</xdr:rowOff>
    </xdr:from>
    <xdr:ext cx="1047750" cy="1047750"/>
    <xdr:pic>
      <xdr:nvPicPr>
        <xdr:cNvPr id="0" name="image115.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52</xdr:row>
      <xdr:rowOff>0</xdr:rowOff>
    </xdr:from>
    <xdr:ext cx="1047750" cy="1047750"/>
    <xdr:pic>
      <xdr:nvPicPr>
        <xdr:cNvPr id="0" name="image117.pn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53</xdr:row>
      <xdr:rowOff>0</xdr:rowOff>
    </xdr:from>
    <xdr:ext cx="1047750" cy="1047750"/>
    <xdr:pic>
      <xdr:nvPicPr>
        <xdr:cNvPr id="0" name="image116.pn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54</xdr:row>
      <xdr:rowOff>0</xdr:rowOff>
    </xdr:from>
    <xdr:ext cx="1047750" cy="1047750"/>
    <xdr:pic>
      <xdr:nvPicPr>
        <xdr:cNvPr id="0" name="image131.png"/>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55</xdr:row>
      <xdr:rowOff>0</xdr:rowOff>
    </xdr:from>
    <xdr:ext cx="1047750" cy="1047750"/>
    <xdr:pic>
      <xdr:nvPicPr>
        <xdr:cNvPr id="0" name="image12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56</xdr:row>
      <xdr:rowOff>0</xdr:rowOff>
    </xdr:from>
    <xdr:ext cx="1047750" cy="1047750"/>
    <xdr:pic>
      <xdr:nvPicPr>
        <xdr:cNvPr id="0" name="image145.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57</xdr:row>
      <xdr:rowOff>0</xdr:rowOff>
    </xdr:from>
    <xdr:ext cx="1047750" cy="1047750"/>
    <xdr:pic>
      <xdr:nvPicPr>
        <xdr:cNvPr id="0" name="image122.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58</xdr:row>
      <xdr:rowOff>0</xdr:rowOff>
    </xdr:from>
    <xdr:ext cx="1047750" cy="1047750"/>
    <xdr:pic>
      <xdr:nvPicPr>
        <xdr:cNvPr id="0" name="image126.pn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59</xdr:row>
      <xdr:rowOff>0</xdr:rowOff>
    </xdr:from>
    <xdr:ext cx="1047750" cy="1047750"/>
    <xdr:pic>
      <xdr:nvPicPr>
        <xdr:cNvPr id="0" name="image124.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60</xdr:row>
      <xdr:rowOff>0</xdr:rowOff>
    </xdr:from>
    <xdr:ext cx="1047750" cy="1047750"/>
    <xdr:pic>
      <xdr:nvPicPr>
        <xdr:cNvPr id="0" name="image119.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61</xdr:row>
      <xdr:rowOff>0</xdr:rowOff>
    </xdr:from>
    <xdr:ext cx="1047750" cy="1047750"/>
    <xdr:pic>
      <xdr:nvPicPr>
        <xdr:cNvPr id="0" name="image125.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62</xdr:row>
      <xdr:rowOff>0</xdr:rowOff>
    </xdr:from>
    <xdr:ext cx="1047750" cy="1047750"/>
    <xdr:pic>
      <xdr:nvPicPr>
        <xdr:cNvPr id="0" name="image123.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63</xdr:row>
      <xdr:rowOff>0</xdr:rowOff>
    </xdr:from>
    <xdr:ext cx="1047750" cy="1047750"/>
    <xdr:pic>
      <xdr:nvPicPr>
        <xdr:cNvPr id="0" name="image128.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64</xdr:row>
      <xdr:rowOff>0</xdr:rowOff>
    </xdr:from>
    <xdr:ext cx="1047750" cy="1047750"/>
    <xdr:pic>
      <xdr:nvPicPr>
        <xdr:cNvPr id="0" name="image127.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65</xdr:row>
      <xdr:rowOff>0</xdr:rowOff>
    </xdr:from>
    <xdr:ext cx="1047750" cy="1047750"/>
    <xdr:pic>
      <xdr:nvPicPr>
        <xdr:cNvPr id="0" name="image129.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66</xdr:row>
      <xdr:rowOff>0</xdr:rowOff>
    </xdr:from>
    <xdr:ext cx="1047750" cy="1047750"/>
    <xdr:pic>
      <xdr:nvPicPr>
        <xdr:cNvPr id="0" name="image141.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67</xdr:row>
      <xdr:rowOff>0</xdr:rowOff>
    </xdr:from>
    <xdr:ext cx="1047750" cy="1047750"/>
    <xdr:pic>
      <xdr:nvPicPr>
        <xdr:cNvPr id="0" name="image140.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68</xdr:row>
      <xdr:rowOff>0</xdr:rowOff>
    </xdr:from>
    <xdr:ext cx="1047750" cy="1047750"/>
    <xdr:pic>
      <xdr:nvPicPr>
        <xdr:cNvPr id="0" name="image133.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69</xdr:row>
      <xdr:rowOff>0</xdr:rowOff>
    </xdr:from>
    <xdr:ext cx="1047750" cy="1047750"/>
    <xdr:pic>
      <xdr:nvPicPr>
        <xdr:cNvPr id="0" name="image137.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70</xdr:row>
      <xdr:rowOff>0</xdr:rowOff>
    </xdr:from>
    <xdr:ext cx="1047750" cy="1047750"/>
    <xdr:pic>
      <xdr:nvPicPr>
        <xdr:cNvPr id="0" name="image132.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71</xdr:row>
      <xdr:rowOff>0</xdr:rowOff>
    </xdr:from>
    <xdr:ext cx="1047750" cy="1047750"/>
    <xdr:pic>
      <xdr:nvPicPr>
        <xdr:cNvPr id="0" name="image136.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72</xdr:row>
      <xdr:rowOff>0</xdr:rowOff>
    </xdr:from>
    <xdr:ext cx="1047750" cy="1047750"/>
    <xdr:pic>
      <xdr:nvPicPr>
        <xdr:cNvPr id="0" name="image139.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73</xdr:row>
      <xdr:rowOff>0</xdr:rowOff>
    </xdr:from>
    <xdr:ext cx="1047750" cy="1047750"/>
    <xdr:pic>
      <xdr:nvPicPr>
        <xdr:cNvPr id="0" name="image158.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74</xdr:row>
      <xdr:rowOff>0</xdr:rowOff>
    </xdr:from>
    <xdr:ext cx="1047750" cy="1047750"/>
    <xdr:pic>
      <xdr:nvPicPr>
        <xdr:cNvPr id="0" name="image138.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75</xdr:row>
      <xdr:rowOff>0</xdr:rowOff>
    </xdr:from>
    <xdr:ext cx="1047750" cy="1047750"/>
    <xdr:pic>
      <xdr:nvPicPr>
        <xdr:cNvPr id="0" name="image142.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76</xdr:row>
      <xdr:rowOff>0</xdr:rowOff>
    </xdr:from>
    <xdr:ext cx="1047750" cy="1047750"/>
    <xdr:pic>
      <xdr:nvPicPr>
        <xdr:cNvPr id="0" name="image144.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77</xdr:row>
      <xdr:rowOff>0</xdr:rowOff>
    </xdr:from>
    <xdr:ext cx="1047750" cy="1047750"/>
    <xdr:pic>
      <xdr:nvPicPr>
        <xdr:cNvPr id="0" name="image148.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78</xdr:row>
      <xdr:rowOff>0</xdr:rowOff>
    </xdr:from>
    <xdr:ext cx="1047750" cy="1047750"/>
    <xdr:pic>
      <xdr:nvPicPr>
        <xdr:cNvPr id="0" name="image149.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79</xdr:row>
      <xdr:rowOff>0</xdr:rowOff>
    </xdr:from>
    <xdr:ext cx="1047750" cy="1047750"/>
    <xdr:pic>
      <xdr:nvPicPr>
        <xdr:cNvPr id="0" name="image143.png"/>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0</xdr:colOff>
      <xdr:row>80</xdr:row>
      <xdr:rowOff>0</xdr:rowOff>
    </xdr:from>
    <xdr:ext cx="1047750" cy="1047750"/>
    <xdr:pic>
      <xdr:nvPicPr>
        <xdr:cNvPr id="0" name="image150.png"/>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81</xdr:row>
      <xdr:rowOff>0</xdr:rowOff>
    </xdr:from>
    <xdr:ext cx="1047750" cy="1047750"/>
    <xdr:pic>
      <xdr:nvPicPr>
        <xdr:cNvPr id="0" name="image156.png"/>
        <xdr:cNvPicPr preferRelativeResize="0"/>
      </xdr:nvPicPr>
      <xdr:blipFill>
        <a:blip cstate="print" r:embed="rId81"/>
        <a:stretch>
          <a:fillRect/>
        </a:stretch>
      </xdr:blipFill>
      <xdr:spPr>
        <a:prstGeom prst="rect">
          <a:avLst/>
        </a:prstGeom>
        <a:noFill/>
      </xdr:spPr>
    </xdr:pic>
    <xdr:clientData fLocksWithSheet="0"/>
  </xdr:oneCellAnchor>
  <xdr:oneCellAnchor>
    <xdr:from>
      <xdr:col>0</xdr:col>
      <xdr:colOff>0</xdr:colOff>
      <xdr:row>82</xdr:row>
      <xdr:rowOff>0</xdr:rowOff>
    </xdr:from>
    <xdr:ext cx="1047750" cy="1047750"/>
    <xdr:pic>
      <xdr:nvPicPr>
        <xdr:cNvPr id="0" name="image147.png"/>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0</xdr:colOff>
      <xdr:row>83</xdr:row>
      <xdr:rowOff>0</xdr:rowOff>
    </xdr:from>
    <xdr:ext cx="1047750" cy="1047750"/>
    <xdr:pic>
      <xdr:nvPicPr>
        <xdr:cNvPr id="0" name="image154.png"/>
        <xdr:cNvPicPr preferRelativeResize="0"/>
      </xdr:nvPicPr>
      <xdr:blipFill>
        <a:blip cstate="print" r:embed="rId83"/>
        <a:stretch>
          <a:fillRect/>
        </a:stretch>
      </xdr:blipFill>
      <xdr:spPr>
        <a:prstGeom prst="rect">
          <a:avLst/>
        </a:prstGeom>
        <a:noFill/>
      </xdr:spPr>
    </xdr:pic>
    <xdr:clientData fLocksWithSheet="0"/>
  </xdr:oneCellAnchor>
  <xdr:oneCellAnchor>
    <xdr:from>
      <xdr:col>0</xdr:col>
      <xdr:colOff>0</xdr:colOff>
      <xdr:row>84</xdr:row>
      <xdr:rowOff>0</xdr:rowOff>
    </xdr:from>
    <xdr:ext cx="1047750" cy="1047750"/>
    <xdr:pic>
      <xdr:nvPicPr>
        <xdr:cNvPr id="0" name="image146.png"/>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0</xdr:colOff>
      <xdr:row>85</xdr:row>
      <xdr:rowOff>0</xdr:rowOff>
    </xdr:from>
    <xdr:ext cx="1047750" cy="1047750"/>
    <xdr:pic>
      <xdr:nvPicPr>
        <xdr:cNvPr id="0" name="image166.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86</xdr:row>
      <xdr:rowOff>0</xdr:rowOff>
    </xdr:from>
    <xdr:ext cx="990600" cy="1047750"/>
    <xdr:pic>
      <xdr:nvPicPr>
        <xdr:cNvPr id="0" name="image152.png"/>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0</xdr:colOff>
      <xdr:row>87</xdr:row>
      <xdr:rowOff>0</xdr:rowOff>
    </xdr:from>
    <xdr:ext cx="1047750" cy="1047750"/>
    <xdr:pic>
      <xdr:nvPicPr>
        <xdr:cNvPr id="0" name="image15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88</xdr:row>
      <xdr:rowOff>0</xdr:rowOff>
    </xdr:from>
    <xdr:ext cx="1047750" cy="1047750"/>
    <xdr:pic>
      <xdr:nvPicPr>
        <xdr:cNvPr id="0" name="image157.png"/>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89</xdr:row>
      <xdr:rowOff>0</xdr:rowOff>
    </xdr:from>
    <xdr:ext cx="1047750" cy="1047750"/>
    <xdr:pic>
      <xdr:nvPicPr>
        <xdr:cNvPr id="0" name="image153.png"/>
        <xdr:cNvPicPr preferRelativeResize="0"/>
      </xdr:nvPicPr>
      <xdr:blipFill>
        <a:blip cstate="print" r:embed="rId88"/>
        <a:stretch>
          <a:fillRect/>
        </a:stretch>
      </xdr:blipFill>
      <xdr:spPr>
        <a:prstGeom prst="rect">
          <a:avLst/>
        </a:prstGeom>
        <a:noFill/>
      </xdr:spPr>
    </xdr:pic>
    <xdr:clientData fLocksWithSheet="0"/>
  </xdr:oneCellAnchor>
  <xdr:oneCellAnchor>
    <xdr:from>
      <xdr:col>0</xdr:col>
      <xdr:colOff>0</xdr:colOff>
      <xdr:row>90</xdr:row>
      <xdr:rowOff>0</xdr:rowOff>
    </xdr:from>
    <xdr:ext cx="1047750" cy="1047750"/>
    <xdr:pic>
      <xdr:nvPicPr>
        <xdr:cNvPr id="0" name="image155.png"/>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0</xdr:colOff>
      <xdr:row>91</xdr:row>
      <xdr:rowOff>0</xdr:rowOff>
    </xdr:from>
    <xdr:ext cx="1047750" cy="1047750"/>
    <xdr:pic>
      <xdr:nvPicPr>
        <xdr:cNvPr id="0" name="image159.png"/>
        <xdr:cNvPicPr preferRelativeResize="0"/>
      </xdr:nvPicPr>
      <xdr:blipFill>
        <a:blip cstate="print" r:embed="rId90"/>
        <a:stretch>
          <a:fillRect/>
        </a:stretch>
      </xdr:blipFill>
      <xdr:spPr>
        <a:prstGeom prst="rect">
          <a:avLst/>
        </a:prstGeom>
        <a:noFill/>
      </xdr:spPr>
    </xdr:pic>
    <xdr:clientData fLocksWithSheet="0"/>
  </xdr:oneCellAnchor>
  <xdr:oneCellAnchor>
    <xdr:from>
      <xdr:col>0</xdr:col>
      <xdr:colOff>0</xdr:colOff>
      <xdr:row>92</xdr:row>
      <xdr:rowOff>0</xdr:rowOff>
    </xdr:from>
    <xdr:ext cx="1047750" cy="1047750"/>
    <xdr:pic>
      <xdr:nvPicPr>
        <xdr:cNvPr id="0" name="image15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93</xdr:row>
      <xdr:rowOff>0</xdr:rowOff>
    </xdr:from>
    <xdr:ext cx="1047750" cy="1047750"/>
    <xdr:pic>
      <xdr:nvPicPr>
        <xdr:cNvPr id="0" name="image160.png"/>
        <xdr:cNvPicPr preferRelativeResize="0"/>
      </xdr:nvPicPr>
      <xdr:blipFill>
        <a:blip cstate="print" r:embed="rId91"/>
        <a:stretch>
          <a:fillRect/>
        </a:stretch>
      </xdr:blipFill>
      <xdr:spPr>
        <a:prstGeom prst="rect">
          <a:avLst/>
        </a:prstGeom>
        <a:noFill/>
      </xdr:spPr>
    </xdr:pic>
    <xdr:clientData fLocksWithSheet="0"/>
  </xdr:oneCellAnchor>
  <xdr:oneCellAnchor>
    <xdr:from>
      <xdr:col>0</xdr:col>
      <xdr:colOff>0</xdr:colOff>
      <xdr:row>94</xdr:row>
      <xdr:rowOff>0</xdr:rowOff>
    </xdr:from>
    <xdr:ext cx="1047750" cy="1047750"/>
    <xdr:pic>
      <xdr:nvPicPr>
        <xdr:cNvPr id="0" name="image164.png"/>
        <xdr:cNvPicPr preferRelativeResize="0"/>
      </xdr:nvPicPr>
      <xdr:blipFill>
        <a:blip cstate="print" r:embed="rId92"/>
        <a:stretch>
          <a:fillRect/>
        </a:stretch>
      </xdr:blipFill>
      <xdr:spPr>
        <a:prstGeom prst="rect">
          <a:avLst/>
        </a:prstGeom>
        <a:noFill/>
      </xdr:spPr>
    </xdr:pic>
    <xdr:clientData fLocksWithSheet="0"/>
  </xdr:oneCellAnchor>
  <xdr:oneCellAnchor>
    <xdr:from>
      <xdr:col>0</xdr:col>
      <xdr:colOff>0</xdr:colOff>
      <xdr:row>95</xdr:row>
      <xdr:rowOff>0</xdr:rowOff>
    </xdr:from>
    <xdr:ext cx="1047750" cy="1047750"/>
    <xdr:pic>
      <xdr:nvPicPr>
        <xdr:cNvPr id="0" name="image161.png"/>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96</xdr:row>
      <xdr:rowOff>0</xdr:rowOff>
    </xdr:from>
    <xdr:ext cx="1047750" cy="1047750"/>
    <xdr:pic>
      <xdr:nvPicPr>
        <xdr:cNvPr id="0" name="image162.png"/>
        <xdr:cNvPicPr preferRelativeResize="0"/>
      </xdr:nvPicPr>
      <xdr:blipFill>
        <a:blip cstate="print" r:embed="rId94"/>
        <a:stretch>
          <a:fillRect/>
        </a:stretch>
      </xdr:blipFill>
      <xdr:spPr>
        <a:prstGeom prst="rect">
          <a:avLst/>
        </a:prstGeom>
        <a:noFill/>
      </xdr:spPr>
    </xdr:pic>
    <xdr:clientData fLocksWithSheet="0"/>
  </xdr:oneCellAnchor>
  <xdr:oneCellAnchor>
    <xdr:from>
      <xdr:col>0</xdr:col>
      <xdr:colOff>0</xdr:colOff>
      <xdr:row>97</xdr:row>
      <xdr:rowOff>0</xdr:rowOff>
    </xdr:from>
    <xdr:ext cx="1047750" cy="1047750"/>
    <xdr:pic>
      <xdr:nvPicPr>
        <xdr:cNvPr id="0" name="image163.png"/>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0</xdr:colOff>
      <xdr:row>98</xdr:row>
      <xdr:rowOff>0</xdr:rowOff>
    </xdr:from>
    <xdr:ext cx="1047750" cy="1047750"/>
    <xdr:pic>
      <xdr:nvPicPr>
        <xdr:cNvPr id="0" name="image15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99</xdr:row>
      <xdr:rowOff>0</xdr:rowOff>
    </xdr:from>
    <xdr:ext cx="1047750" cy="1047750"/>
    <xdr:pic>
      <xdr:nvPicPr>
        <xdr:cNvPr id="0" name="image165.png"/>
        <xdr:cNvPicPr preferRelativeResize="0"/>
      </xdr:nvPicPr>
      <xdr:blipFill>
        <a:blip cstate="print" r:embed="rId96"/>
        <a:stretch>
          <a:fillRect/>
        </a:stretch>
      </xdr:blipFill>
      <xdr:spPr>
        <a:prstGeom prst="rect">
          <a:avLst/>
        </a:prstGeom>
        <a:noFill/>
      </xdr:spPr>
    </xdr:pic>
    <xdr:clientData fLocksWithSheet="0"/>
  </xdr:oneCellAnchor>
  <xdr:oneCellAnchor>
    <xdr:from>
      <xdr:col>0</xdr:col>
      <xdr:colOff>0</xdr:colOff>
      <xdr:row>100</xdr:row>
      <xdr:rowOff>0</xdr:rowOff>
    </xdr:from>
    <xdr:ext cx="1047750" cy="1047750"/>
    <xdr:pic>
      <xdr:nvPicPr>
        <xdr:cNvPr id="0" name="image15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101</xdr:row>
      <xdr:rowOff>0</xdr:rowOff>
    </xdr:from>
    <xdr:ext cx="1047750" cy="1047750"/>
    <xdr:pic>
      <xdr:nvPicPr>
        <xdr:cNvPr id="0" name="image174.png"/>
        <xdr:cNvPicPr preferRelativeResize="0"/>
      </xdr:nvPicPr>
      <xdr:blipFill>
        <a:blip cstate="print" r:embed="rId97"/>
        <a:stretch>
          <a:fillRect/>
        </a:stretch>
      </xdr:blipFill>
      <xdr:spPr>
        <a:prstGeom prst="rect">
          <a:avLst/>
        </a:prstGeom>
        <a:noFill/>
      </xdr:spPr>
    </xdr:pic>
    <xdr:clientData fLocksWithSheet="0"/>
  </xdr:oneCellAnchor>
  <xdr:oneCellAnchor>
    <xdr:from>
      <xdr:col>0</xdr:col>
      <xdr:colOff>0</xdr:colOff>
      <xdr:row>102</xdr:row>
      <xdr:rowOff>0</xdr:rowOff>
    </xdr:from>
    <xdr:ext cx="1047750" cy="1047750"/>
    <xdr:pic>
      <xdr:nvPicPr>
        <xdr:cNvPr id="0" name="image175.png"/>
        <xdr:cNvPicPr preferRelativeResize="0"/>
      </xdr:nvPicPr>
      <xdr:blipFill>
        <a:blip cstate="print" r:embed="rId98"/>
        <a:stretch>
          <a:fillRect/>
        </a:stretch>
      </xdr:blipFill>
      <xdr:spPr>
        <a:prstGeom prst="rect">
          <a:avLst/>
        </a:prstGeom>
        <a:noFill/>
      </xdr:spPr>
    </xdr:pic>
    <xdr:clientData fLocksWithSheet="0"/>
  </xdr:oneCellAnchor>
  <xdr:oneCellAnchor>
    <xdr:from>
      <xdr:col>0</xdr:col>
      <xdr:colOff>0</xdr:colOff>
      <xdr:row>103</xdr:row>
      <xdr:rowOff>0</xdr:rowOff>
    </xdr:from>
    <xdr:ext cx="1047750" cy="1047750"/>
    <xdr:pic>
      <xdr:nvPicPr>
        <xdr:cNvPr id="0" name="image167.png"/>
        <xdr:cNvPicPr preferRelativeResize="0"/>
      </xdr:nvPicPr>
      <xdr:blipFill>
        <a:blip cstate="print" r:embed="rId99"/>
        <a:stretch>
          <a:fillRect/>
        </a:stretch>
      </xdr:blipFill>
      <xdr:spPr>
        <a:prstGeom prst="rect">
          <a:avLst/>
        </a:prstGeom>
        <a:noFill/>
      </xdr:spPr>
    </xdr:pic>
    <xdr:clientData fLocksWithSheet="0"/>
  </xdr:oneCellAnchor>
  <xdr:oneCellAnchor>
    <xdr:from>
      <xdr:col>0</xdr:col>
      <xdr:colOff>0</xdr:colOff>
      <xdr:row>104</xdr:row>
      <xdr:rowOff>0</xdr:rowOff>
    </xdr:from>
    <xdr:ext cx="1047750" cy="1047750"/>
    <xdr:pic>
      <xdr:nvPicPr>
        <xdr:cNvPr id="0" name="image15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105</xdr:row>
      <xdr:rowOff>0</xdr:rowOff>
    </xdr:from>
    <xdr:ext cx="1047750" cy="1047750"/>
    <xdr:pic>
      <xdr:nvPicPr>
        <xdr:cNvPr id="0" name="image171.png"/>
        <xdr:cNvPicPr preferRelativeResize="0"/>
      </xdr:nvPicPr>
      <xdr:blipFill>
        <a:blip cstate="print" r:embed="rId100"/>
        <a:stretch>
          <a:fillRect/>
        </a:stretch>
      </xdr:blipFill>
      <xdr:spPr>
        <a:prstGeom prst="rect">
          <a:avLst/>
        </a:prstGeom>
        <a:noFill/>
      </xdr:spPr>
    </xdr:pic>
    <xdr:clientData fLocksWithSheet="0"/>
  </xdr:oneCellAnchor>
  <xdr:oneCellAnchor>
    <xdr:from>
      <xdr:col>0</xdr:col>
      <xdr:colOff>0</xdr:colOff>
      <xdr:row>106</xdr:row>
      <xdr:rowOff>0</xdr:rowOff>
    </xdr:from>
    <xdr:ext cx="1047750" cy="1047750"/>
    <xdr:pic>
      <xdr:nvPicPr>
        <xdr:cNvPr id="0" name="image178.png"/>
        <xdr:cNvPicPr preferRelativeResize="0"/>
      </xdr:nvPicPr>
      <xdr:blipFill>
        <a:blip cstate="print" r:embed="rId101"/>
        <a:stretch>
          <a:fillRect/>
        </a:stretch>
      </xdr:blipFill>
      <xdr:spPr>
        <a:prstGeom prst="rect">
          <a:avLst/>
        </a:prstGeom>
        <a:noFill/>
      </xdr:spPr>
    </xdr:pic>
    <xdr:clientData fLocksWithSheet="0"/>
  </xdr:oneCellAnchor>
  <xdr:oneCellAnchor>
    <xdr:from>
      <xdr:col>0</xdr:col>
      <xdr:colOff>0</xdr:colOff>
      <xdr:row>107</xdr:row>
      <xdr:rowOff>0</xdr:rowOff>
    </xdr:from>
    <xdr:ext cx="1047750" cy="1047750"/>
    <xdr:pic>
      <xdr:nvPicPr>
        <xdr:cNvPr id="0" name="image169.png"/>
        <xdr:cNvPicPr preferRelativeResize="0"/>
      </xdr:nvPicPr>
      <xdr:blipFill>
        <a:blip cstate="print" r:embed="rId102"/>
        <a:stretch>
          <a:fillRect/>
        </a:stretch>
      </xdr:blipFill>
      <xdr:spPr>
        <a:prstGeom prst="rect">
          <a:avLst/>
        </a:prstGeom>
        <a:noFill/>
      </xdr:spPr>
    </xdr:pic>
    <xdr:clientData fLocksWithSheet="0"/>
  </xdr:oneCellAnchor>
  <xdr:oneCellAnchor>
    <xdr:from>
      <xdr:col>0</xdr:col>
      <xdr:colOff>0</xdr:colOff>
      <xdr:row>108</xdr:row>
      <xdr:rowOff>0</xdr:rowOff>
    </xdr:from>
    <xdr:ext cx="1047750" cy="1047750"/>
    <xdr:pic>
      <xdr:nvPicPr>
        <xdr:cNvPr id="0" name="image168.png"/>
        <xdr:cNvPicPr preferRelativeResize="0"/>
      </xdr:nvPicPr>
      <xdr:blipFill>
        <a:blip cstate="print" r:embed="rId103"/>
        <a:stretch>
          <a:fillRect/>
        </a:stretch>
      </xdr:blipFill>
      <xdr:spPr>
        <a:prstGeom prst="rect">
          <a:avLst/>
        </a:prstGeom>
        <a:noFill/>
      </xdr:spPr>
    </xdr:pic>
    <xdr:clientData fLocksWithSheet="0"/>
  </xdr:oneCellAnchor>
  <xdr:oneCellAnchor>
    <xdr:from>
      <xdr:col>0</xdr:col>
      <xdr:colOff>0</xdr:colOff>
      <xdr:row>109</xdr:row>
      <xdr:rowOff>0</xdr:rowOff>
    </xdr:from>
    <xdr:ext cx="1047750" cy="1047750"/>
    <xdr:pic>
      <xdr:nvPicPr>
        <xdr:cNvPr id="0" name="image177.png"/>
        <xdr:cNvPicPr preferRelativeResize="0"/>
      </xdr:nvPicPr>
      <xdr:blipFill>
        <a:blip cstate="print" r:embed="rId104"/>
        <a:stretch>
          <a:fillRect/>
        </a:stretch>
      </xdr:blipFill>
      <xdr:spPr>
        <a:prstGeom prst="rect">
          <a:avLst/>
        </a:prstGeom>
        <a:noFill/>
      </xdr:spPr>
    </xdr:pic>
    <xdr:clientData fLocksWithSheet="0"/>
  </xdr:oneCellAnchor>
  <xdr:oneCellAnchor>
    <xdr:from>
      <xdr:col>0</xdr:col>
      <xdr:colOff>0</xdr:colOff>
      <xdr:row>110</xdr:row>
      <xdr:rowOff>0</xdr:rowOff>
    </xdr:from>
    <xdr:ext cx="1047750" cy="1047750"/>
    <xdr:pic>
      <xdr:nvPicPr>
        <xdr:cNvPr id="0" name="image170.png"/>
        <xdr:cNvPicPr preferRelativeResize="0"/>
      </xdr:nvPicPr>
      <xdr:blipFill>
        <a:blip cstate="print" r:embed="rId105"/>
        <a:stretch>
          <a:fillRect/>
        </a:stretch>
      </xdr:blipFill>
      <xdr:spPr>
        <a:prstGeom prst="rect">
          <a:avLst/>
        </a:prstGeom>
        <a:noFill/>
      </xdr:spPr>
    </xdr:pic>
    <xdr:clientData fLocksWithSheet="0"/>
  </xdr:oneCellAnchor>
  <xdr:oneCellAnchor>
    <xdr:from>
      <xdr:col>0</xdr:col>
      <xdr:colOff>0</xdr:colOff>
      <xdr:row>111</xdr:row>
      <xdr:rowOff>0</xdr:rowOff>
    </xdr:from>
    <xdr:ext cx="1047750" cy="1047750"/>
    <xdr:pic>
      <xdr:nvPicPr>
        <xdr:cNvPr id="0" name="image196.png"/>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112</xdr:row>
      <xdr:rowOff>0</xdr:rowOff>
    </xdr:from>
    <xdr:ext cx="1047750" cy="1047750"/>
    <xdr:pic>
      <xdr:nvPicPr>
        <xdr:cNvPr id="0" name="image172.png"/>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0</xdr:colOff>
      <xdr:row>113</xdr:row>
      <xdr:rowOff>0</xdr:rowOff>
    </xdr:from>
    <xdr:ext cx="1047750" cy="1047750"/>
    <xdr:pic>
      <xdr:nvPicPr>
        <xdr:cNvPr id="0" name="image184.png"/>
        <xdr:cNvPicPr preferRelativeResize="0"/>
      </xdr:nvPicPr>
      <xdr:blipFill>
        <a:blip cstate="print" r:embed="rId10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266700" cy="266700"/>
    <xdr:pic>
      <xdr:nvPicPr>
        <xdr:cNvPr id="0" name="image18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xdr:row>
      <xdr:rowOff>0</xdr:rowOff>
    </xdr:from>
    <xdr:ext cx="266700" cy="266700"/>
    <xdr:pic>
      <xdr:nvPicPr>
        <xdr:cNvPr id="0" name="image20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15</xdr:row>
      <xdr:rowOff>0</xdr:rowOff>
    </xdr:from>
    <xdr:ext cx="266700" cy="266700"/>
    <xdr:pic>
      <xdr:nvPicPr>
        <xdr:cNvPr id="0" name="image17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21</xdr:row>
      <xdr:rowOff>0</xdr:rowOff>
    </xdr:from>
    <xdr:ext cx="266700" cy="266700"/>
    <xdr:pic>
      <xdr:nvPicPr>
        <xdr:cNvPr id="0" name="image17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27</xdr:row>
      <xdr:rowOff>0</xdr:rowOff>
    </xdr:from>
    <xdr:ext cx="266700" cy="266700"/>
    <xdr:pic>
      <xdr:nvPicPr>
        <xdr:cNvPr id="0" name="image179.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33</xdr:row>
      <xdr:rowOff>0</xdr:rowOff>
    </xdr:from>
    <xdr:ext cx="266700" cy="266700"/>
    <xdr:pic>
      <xdr:nvPicPr>
        <xdr:cNvPr id="0" name="image185.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39</xdr:row>
      <xdr:rowOff>0</xdr:rowOff>
    </xdr:from>
    <xdr:ext cx="266700" cy="266700"/>
    <xdr:pic>
      <xdr:nvPicPr>
        <xdr:cNvPr id="0" name="image187.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45</xdr:row>
      <xdr:rowOff>0</xdr:rowOff>
    </xdr:from>
    <xdr:ext cx="266700" cy="266700"/>
    <xdr:pic>
      <xdr:nvPicPr>
        <xdr:cNvPr id="0" name="image183.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51</xdr:row>
      <xdr:rowOff>0</xdr:rowOff>
    </xdr:from>
    <xdr:ext cx="266700" cy="266700"/>
    <xdr:pic>
      <xdr:nvPicPr>
        <xdr:cNvPr id="0" name="image181.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57</xdr:row>
      <xdr:rowOff>0</xdr:rowOff>
    </xdr:from>
    <xdr:ext cx="266700" cy="266700"/>
    <xdr:pic>
      <xdr:nvPicPr>
        <xdr:cNvPr id="0" name="image180.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63</xdr:row>
      <xdr:rowOff>0</xdr:rowOff>
    </xdr:from>
    <xdr:ext cx="266700" cy="266700"/>
    <xdr:pic>
      <xdr:nvPicPr>
        <xdr:cNvPr id="0" name="image210.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69</xdr:row>
      <xdr:rowOff>0</xdr:rowOff>
    </xdr:from>
    <xdr:ext cx="266700" cy="266700"/>
    <xdr:pic>
      <xdr:nvPicPr>
        <xdr:cNvPr id="0" name="image189.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75</xdr:row>
      <xdr:rowOff>0</xdr:rowOff>
    </xdr:from>
    <xdr:ext cx="266700" cy="266700"/>
    <xdr:pic>
      <xdr:nvPicPr>
        <xdr:cNvPr id="0" name="image186.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81</xdr:row>
      <xdr:rowOff>0</xdr:rowOff>
    </xdr:from>
    <xdr:ext cx="266700" cy="266700"/>
    <xdr:pic>
      <xdr:nvPicPr>
        <xdr:cNvPr id="0" name="image188.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87</xdr:row>
      <xdr:rowOff>0</xdr:rowOff>
    </xdr:from>
    <xdr:ext cx="266700" cy="266700"/>
    <xdr:pic>
      <xdr:nvPicPr>
        <xdr:cNvPr id="0" name="image190.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93</xdr:row>
      <xdr:rowOff>0</xdr:rowOff>
    </xdr:from>
    <xdr:ext cx="266700" cy="266700"/>
    <xdr:pic>
      <xdr:nvPicPr>
        <xdr:cNvPr id="0" name="image193.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99</xdr:row>
      <xdr:rowOff>0</xdr:rowOff>
    </xdr:from>
    <xdr:ext cx="276225" cy="276225"/>
    <xdr:pic>
      <xdr:nvPicPr>
        <xdr:cNvPr id="0" name="image195.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105</xdr:row>
      <xdr:rowOff>0</xdr:rowOff>
    </xdr:from>
    <xdr:ext cx="276225" cy="276225"/>
    <xdr:pic>
      <xdr:nvPicPr>
        <xdr:cNvPr id="0" name="image191.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111</xdr:row>
      <xdr:rowOff>0</xdr:rowOff>
    </xdr:from>
    <xdr:ext cx="266700" cy="266700"/>
    <xdr:pic>
      <xdr:nvPicPr>
        <xdr:cNvPr id="0" name="image208.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117</xdr:row>
      <xdr:rowOff>0</xdr:rowOff>
    </xdr:from>
    <xdr:ext cx="266700" cy="266700"/>
    <xdr:pic>
      <xdr:nvPicPr>
        <xdr:cNvPr id="0" name="image209.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123</xdr:row>
      <xdr:rowOff>0</xdr:rowOff>
    </xdr:from>
    <xdr:ext cx="266700" cy="266700"/>
    <xdr:pic>
      <xdr:nvPicPr>
        <xdr:cNvPr id="0" name="image192.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0</xdr:rowOff>
    </xdr:from>
    <xdr:ext cx="266700" cy="266700"/>
    <xdr:pic>
      <xdr:nvPicPr>
        <xdr:cNvPr id="0" name="image194.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135</xdr:row>
      <xdr:rowOff>0</xdr:rowOff>
    </xdr:from>
    <xdr:ext cx="266700" cy="266700"/>
    <xdr:pic>
      <xdr:nvPicPr>
        <xdr:cNvPr id="0" name="image198.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141</xdr:row>
      <xdr:rowOff>0</xdr:rowOff>
    </xdr:from>
    <xdr:ext cx="266700" cy="266700"/>
    <xdr:pic>
      <xdr:nvPicPr>
        <xdr:cNvPr id="0" name="image197.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147</xdr:row>
      <xdr:rowOff>0</xdr:rowOff>
    </xdr:from>
    <xdr:ext cx="266700" cy="266700"/>
    <xdr:pic>
      <xdr:nvPicPr>
        <xdr:cNvPr id="0" name="image201.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153</xdr:row>
      <xdr:rowOff>0</xdr:rowOff>
    </xdr:from>
    <xdr:ext cx="266700" cy="266700"/>
    <xdr:pic>
      <xdr:nvPicPr>
        <xdr:cNvPr id="0" name="image206.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159</xdr:row>
      <xdr:rowOff>0</xdr:rowOff>
    </xdr:from>
    <xdr:ext cx="266700" cy="266700"/>
    <xdr:pic>
      <xdr:nvPicPr>
        <xdr:cNvPr id="0" name="image203.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165</xdr:row>
      <xdr:rowOff>0</xdr:rowOff>
    </xdr:from>
    <xdr:ext cx="266700" cy="266700"/>
    <xdr:pic>
      <xdr:nvPicPr>
        <xdr:cNvPr id="0" name="image200.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171</xdr:row>
      <xdr:rowOff>0</xdr:rowOff>
    </xdr:from>
    <xdr:ext cx="266700" cy="266700"/>
    <xdr:pic>
      <xdr:nvPicPr>
        <xdr:cNvPr id="0" name="image207.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177</xdr:row>
      <xdr:rowOff>0</xdr:rowOff>
    </xdr:from>
    <xdr:ext cx="266700" cy="266700"/>
    <xdr:pic>
      <xdr:nvPicPr>
        <xdr:cNvPr id="0" name="image205.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183</xdr:row>
      <xdr:rowOff>0</xdr:rowOff>
    </xdr:from>
    <xdr:ext cx="266700" cy="266700"/>
    <xdr:pic>
      <xdr:nvPicPr>
        <xdr:cNvPr id="0" name="image202.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189</xdr:row>
      <xdr:rowOff>0</xdr:rowOff>
    </xdr:from>
    <xdr:ext cx="266700" cy="266700"/>
    <xdr:pic>
      <xdr:nvPicPr>
        <xdr:cNvPr id="0" name="image199.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195</xdr:row>
      <xdr:rowOff>0</xdr:rowOff>
    </xdr:from>
    <xdr:ext cx="266700" cy="266700"/>
    <xdr:pic>
      <xdr:nvPicPr>
        <xdr:cNvPr id="0" name="image218.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201</xdr:row>
      <xdr:rowOff>0</xdr:rowOff>
    </xdr:from>
    <xdr:ext cx="266700" cy="266700"/>
    <xdr:pic>
      <xdr:nvPicPr>
        <xdr:cNvPr id="0" name="image215.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207</xdr:row>
      <xdr:rowOff>0</xdr:rowOff>
    </xdr:from>
    <xdr:ext cx="266700" cy="266700"/>
    <xdr:pic>
      <xdr:nvPicPr>
        <xdr:cNvPr id="0" name="image211.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213</xdr:row>
      <xdr:rowOff>0</xdr:rowOff>
    </xdr:from>
    <xdr:ext cx="276225" cy="276225"/>
    <xdr:pic>
      <xdr:nvPicPr>
        <xdr:cNvPr id="0" name="image229.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219</xdr:row>
      <xdr:rowOff>0</xdr:rowOff>
    </xdr:from>
    <xdr:ext cx="266700" cy="266700"/>
    <xdr:pic>
      <xdr:nvPicPr>
        <xdr:cNvPr id="0" name="image217.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225</xdr:row>
      <xdr:rowOff>0</xdr:rowOff>
    </xdr:from>
    <xdr:ext cx="266700" cy="266700"/>
    <xdr:pic>
      <xdr:nvPicPr>
        <xdr:cNvPr id="0" name="image228.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231</xdr:row>
      <xdr:rowOff>0</xdr:rowOff>
    </xdr:from>
    <xdr:ext cx="266700" cy="266700"/>
    <xdr:pic>
      <xdr:nvPicPr>
        <xdr:cNvPr id="0" name="image213.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237</xdr:row>
      <xdr:rowOff>0</xdr:rowOff>
    </xdr:from>
    <xdr:ext cx="257175" cy="266700"/>
    <xdr:pic>
      <xdr:nvPicPr>
        <xdr:cNvPr id="0" name="image219.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243</xdr:row>
      <xdr:rowOff>0</xdr:rowOff>
    </xdr:from>
    <xdr:ext cx="266700" cy="266700"/>
    <xdr:pic>
      <xdr:nvPicPr>
        <xdr:cNvPr id="0" name="image212.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249</xdr:row>
      <xdr:rowOff>0</xdr:rowOff>
    </xdr:from>
    <xdr:ext cx="266700" cy="266700"/>
    <xdr:pic>
      <xdr:nvPicPr>
        <xdr:cNvPr id="0" name="image220.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255</xdr:row>
      <xdr:rowOff>0</xdr:rowOff>
    </xdr:from>
    <xdr:ext cx="266700" cy="266700"/>
    <xdr:pic>
      <xdr:nvPicPr>
        <xdr:cNvPr id="0" name="image216.pn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261</xdr:row>
      <xdr:rowOff>0</xdr:rowOff>
    </xdr:from>
    <xdr:ext cx="266700" cy="266700"/>
    <xdr:pic>
      <xdr:nvPicPr>
        <xdr:cNvPr id="0" name="image223.pn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267</xdr:row>
      <xdr:rowOff>0</xdr:rowOff>
    </xdr:from>
    <xdr:ext cx="266700" cy="266700"/>
    <xdr:pic>
      <xdr:nvPicPr>
        <xdr:cNvPr id="0" name="image214.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273</xdr:row>
      <xdr:rowOff>0</xdr:rowOff>
    </xdr:from>
    <xdr:ext cx="266700" cy="266700"/>
    <xdr:pic>
      <xdr:nvPicPr>
        <xdr:cNvPr id="0" name="image230.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279</xdr:row>
      <xdr:rowOff>0</xdr:rowOff>
    </xdr:from>
    <xdr:ext cx="266700" cy="266700"/>
    <xdr:pic>
      <xdr:nvPicPr>
        <xdr:cNvPr id="0" name="image226.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285</xdr:row>
      <xdr:rowOff>0</xdr:rowOff>
    </xdr:from>
    <xdr:ext cx="266700" cy="266700"/>
    <xdr:pic>
      <xdr:nvPicPr>
        <xdr:cNvPr id="0" name="image249.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291</xdr:row>
      <xdr:rowOff>0</xdr:rowOff>
    </xdr:from>
    <xdr:ext cx="266700" cy="266700"/>
    <xdr:pic>
      <xdr:nvPicPr>
        <xdr:cNvPr id="0" name="image227.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297</xdr:row>
      <xdr:rowOff>0</xdr:rowOff>
    </xdr:from>
    <xdr:ext cx="266700" cy="266700"/>
    <xdr:pic>
      <xdr:nvPicPr>
        <xdr:cNvPr id="0" name="image221.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303</xdr:row>
      <xdr:rowOff>0</xdr:rowOff>
    </xdr:from>
    <xdr:ext cx="266700" cy="266700"/>
    <xdr:pic>
      <xdr:nvPicPr>
        <xdr:cNvPr id="0" name="image222.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309</xdr:row>
      <xdr:rowOff>0</xdr:rowOff>
    </xdr:from>
    <xdr:ext cx="276225" cy="276225"/>
    <xdr:pic>
      <xdr:nvPicPr>
        <xdr:cNvPr id="0" name="image233.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315</xdr:row>
      <xdr:rowOff>0</xdr:rowOff>
    </xdr:from>
    <xdr:ext cx="276225" cy="276225"/>
    <xdr:pic>
      <xdr:nvPicPr>
        <xdr:cNvPr id="0" name="image224.pn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321</xdr:row>
      <xdr:rowOff>0</xdr:rowOff>
    </xdr:from>
    <xdr:ext cx="276225" cy="276225"/>
    <xdr:pic>
      <xdr:nvPicPr>
        <xdr:cNvPr id="0" name="image234.pn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327</xdr:row>
      <xdr:rowOff>0</xdr:rowOff>
    </xdr:from>
    <xdr:ext cx="266700" cy="266700"/>
    <xdr:pic>
      <xdr:nvPicPr>
        <xdr:cNvPr id="0" name="image232.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333</xdr:row>
      <xdr:rowOff>0</xdr:rowOff>
    </xdr:from>
    <xdr:ext cx="266700" cy="266700"/>
    <xdr:pic>
      <xdr:nvPicPr>
        <xdr:cNvPr id="0" name="image231.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339</xdr:row>
      <xdr:rowOff>0</xdr:rowOff>
    </xdr:from>
    <xdr:ext cx="266700" cy="266700"/>
    <xdr:pic>
      <xdr:nvPicPr>
        <xdr:cNvPr id="0" name="image225.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345</xdr:row>
      <xdr:rowOff>0</xdr:rowOff>
    </xdr:from>
    <xdr:ext cx="266700" cy="266700"/>
    <xdr:pic>
      <xdr:nvPicPr>
        <xdr:cNvPr id="0" name="image236.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351</xdr:row>
      <xdr:rowOff>0</xdr:rowOff>
    </xdr:from>
    <xdr:ext cx="266700" cy="266700"/>
    <xdr:pic>
      <xdr:nvPicPr>
        <xdr:cNvPr id="0" name="image237.pn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357</xdr:row>
      <xdr:rowOff>0</xdr:rowOff>
    </xdr:from>
    <xdr:ext cx="266700" cy="266700"/>
    <xdr:pic>
      <xdr:nvPicPr>
        <xdr:cNvPr id="0" name="image246.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363</xdr:row>
      <xdr:rowOff>0</xdr:rowOff>
    </xdr:from>
    <xdr:ext cx="266700" cy="266700"/>
    <xdr:pic>
      <xdr:nvPicPr>
        <xdr:cNvPr id="0" name="image235.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369</xdr:row>
      <xdr:rowOff>0</xdr:rowOff>
    </xdr:from>
    <xdr:ext cx="266700" cy="266700"/>
    <xdr:pic>
      <xdr:nvPicPr>
        <xdr:cNvPr id="0" name="image247.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375</xdr:row>
      <xdr:rowOff>0</xdr:rowOff>
    </xdr:from>
    <xdr:ext cx="266700" cy="266700"/>
    <xdr:pic>
      <xdr:nvPicPr>
        <xdr:cNvPr id="0" name="image248.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381</xdr:row>
      <xdr:rowOff>0</xdr:rowOff>
    </xdr:from>
    <xdr:ext cx="266700" cy="266700"/>
    <xdr:pic>
      <xdr:nvPicPr>
        <xdr:cNvPr id="0" name="image24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387</xdr:row>
      <xdr:rowOff>0</xdr:rowOff>
    </xdr:from>
    <xdr:ext cx="266700" cy="266700"/>
    <xdr:pic>
      <xdr:nvPicPr>
        <xdr:cNvPr id="0" name="image260.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393</xdr:row>
      <xdr:rowOff>0</xdr:rowOff>
    </xdr:from>
    <xdr:ext cx="266700" cy="266700"/>
    <xdr:pic>
      <xdr:nvPicPr>
        <xdr:cNvPr id="0" name="image239.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399</xdr:row>
      <xdr:rowOff>0</xdr:rowOff>
    </xdr:from>
    <xdr:ext cx="266700" cy="266700"/>
    <xdr:pic>
      <xdr:nvPicPr>
        <xdr:cNvPr id="0" name="image238.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405</xdr:row>
      <xdr:rowOff>0</xdr:rowOff>
    </xdr:from>
    <xdr:ext cx="266700" cy="266700"/>
    <xdr:pic>
      <xdr:nvPicPr>
        <xdr:cNvPr id="0" name="image252.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411</xdr:row>
      <xdr:rowOff>0</xdr:rowOff>
    </xdr:from>
    <xdr:ext cx="266700" cy="266700"/>
    <xdr:pic>
      <xdr:nvPicPr>
        <xdr:cNvPr id="0" name="image250.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417</xdr:row>
      <xdr:rowOff>0</xdr:rowOff>
    </xdr:from>
    <xdr:ext cx="276225" cy="276225"/>
    <xdr:pic>
      <xdr:nvPicPr>
        <xdr:cNvPr id="0" name="image243.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423</xdr:row>
      <xdr:rowOff>0</xdr:rowOff>
    </xdr:from>
    <xdr:ext cx="276225" cy="276225"/>
    <xdr:pic>
      <xdr:nvPicPr>
        <xdr:cNvPr id="0" name="image240.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429</xdr:row>
      <xdr:rowOff>0</xdr:rowOff>
    </xdr:from>
    <xdr:ext cx="266700" cy="266700"/>
    <xdr:pic>
      <xdr:nvPicPr>
        <xdr:cNvPr id="0" name="image245.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435</xdr:row>
      <xdr:rowOff>0</xdr:rowOff>
    </xdr:from>
    <xdr:ext cx="266700" cy="266700"/>
    <xdr:pic>
      <xdr:nvPicPr>
        <xdr:cNvPr id="0" name="image263.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441</xdr:row>
      <xdr:rowOff>0</xdr:rowOff>
    </xdr:from>
    <xdr:ext cx="266700" cy="266700"/>
    <xdr:pic>
      <xdr:nvPicPr>
        <xdr:cNvPr id="0" name="image242.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447</xdr:row>
      <xdr:rowOff>0</xdr:rowOff>
    </xdr:from>
    <xdr:ext cx="266700" cy="266700"/>
    <xdr:pic>
      <xdr:nvPicPr>
        <xdr:cNvPr id="0" name="image258.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453</xdr:row>
      <xdr:rowOff>0</xdr:rowOff>
    </xdr:from>
    <xdr:ext cx="266700" cy="266700"/>
    <xdr:pic>
      <xdr:nvPicPr>
        <xdr:cNvPr id="0" name="image262.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459</xdr:row>
      <xdr:rowOff>0</xdr:rowOff>
    </xdr:from>
    <xdr:ext cx="266700" cy="266700"/>
    <xdr:pic>
      <xdr:nvPicPr>
        <xdr:cNvPr id="0" name="image253.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465</xdr:row>
      <xdr:rowOff>0</xdr:rowOff>
    </xdr:from>
    <xdr:ext cx="266700" cy="266700"/>
    <xdr:pic>
      <xdr:nvPicPr>
        <xdr:cNvPr id="0" name="image251.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471</xdr:row>
      <xdr:rowOff>0</xdr:rowOff>
    </xdr:from>
    <xdr:ext cx="266700" cy="266700"/>
    <xdr:pic>
      <xdr:nvPicPr>
        <xdr:cNvPr id="0" name="image244.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477</xdr:row>
      <xdr:rowOff>0</xdr:rowOff>
    </xdr:from>
    <xdr:ext cx="266700" cy="266700"/>
    <xdr:pic>
      <xdr:nvPicPr>
        <xdr:cNvPr id="0" name="image254.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483</xdr:row>
      <xdr:rowOff>0</xdr:rowOff>
    </xdr:from>
    <xdr:ext cx="266700" cy="266700"/>
    <xdr:pic>
      <xdr:nvPicPr>
        <xdr:cNvPr id="0" name="image257.png"/>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0</xdr:colOff>
      <xdr:row>489</xdr:row>
      <xdr:rowOff>0</xdr:rowOff>
    </xdr:from>
    <xdr:ext cx="266700" cy="266700"/>
    <xdr:pic>
      <xdr:nvPicPr>
        <xdr:cNvPr id="0" name="image256.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495</xdr:row>
      <xdr:rowOff>0</xdr:rowOff>
    </xdr:from>
    <xdr:ext cx="266700" cy="266700"/>
    <xdr:pic>
      <xdr:nvPicPr>
        <xdr:cNvPr id="0" name="image259.png" title="Изображение"/>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501</xdr:row>
      <xdr:rowOff>0</xdr:rowOff>
    </xdr:from>
    <xdr:ext cx="266700" cy="266700"/>
    <xdr:pic>
      <xdr:nvPicPr>
        <xdr:cNvPr id="0" name="image255.png" title="Изображение"/>
        <xdr:cNvPicPr preferRelativeResize="0"/>
      </xdr:nvPicPr>
      <xdr:blipFill>
        <a:blip cstate="print" r:embed="rId81"/>
        <a:stretch>
          <a:fillRect/>
        </a:stretch>
      </xdr:blipFill>
      <xdr:spPr>
        <a:prstGeom prst="rect">
          <a:avLst/>
        </a:prstGeom>
        <a:noFill/>
      </xdr:spPr>
    </xdr:pic>
    <xdr:clientData fLocksWithSheet="0"/>
  </xdr:oneCellAnchor>
  <xdr:oneCellAnchor>
    <xdr:from>
      <xdr:col>0</xdr:col>
      <xdr:colOff>0</xdr:colOff>
      <xdr:row>507</xdr:row>
      <xdr:rowOff>0</xdr:rowOff>
    </xdr:from>
    <xdr:ext cx="266700" cy="266700"/>
    <xdr:pic>
      <xdr:nvPicPr>
        <xdr:cNvPr id="0" name="image261.png" title="Изображение"/>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0</xdr:colOff>
      <xdr:row>513</xdr:row>
      <xdr:rowOff>0</xdr:rowOff>
    </xdr:from>
    <xdr:ext cx="266700" cy="266700"/>
    <xdr:pic>
      <xdr:nvPicPr>
        <xdr:cNvPr id="0" name="image264.png" title="Изображение"/>
        <xdr:cNvPicPr preferRelativeResize="0"/>
      </xdr:nvPicPr>
      <xdr:blipFill>
        <a:blip cstate="print" r:embed="rId83"/>
        <a:stretch>
          <a:fillRect/>
        </a:stretch>
      </xdr:blipFill>
      <xdr:spPr>
        <a:prstGeom prst="rect">
          <a:avLst/>
        </a:prstGeom>
        <a:noFill/>
      </xdr:spPr>
    </xdr:pic>
    <xdr:clientData fLocksWithSheet="0"/>
  </xdr:oneCellAnchor>
  <xdr:oneCellAnchor>
    <xdr:from>
      <xdr:col>0</xdr:col>
      <xdr:colOff>0</xdr:colOff>
      <xdr:row>519</xdr:row>
      <xdr:rowOff>0</xdr:rowOff>
    </xdr:from>
    <xdr:ext cx="276225" cy="276225"/>
    <xdr:pic>
      <xdr:nvPicPr>
        <xdr:cNvPr id="0" name="image296.png"/>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0</xdr:colOff>
      <xdr:row>525</xdr:row>
      <xdr:rowOff>0</xdr:rowOff>
    </xdr:from>
    <xdr:ext cx="276225" cy="276225"/>
    <xdr:pic>
      <xdr:nvPicPr>
        <xdr:cNvPr id="0" name="image282.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531</xdr:row>
      <xdr:rowOff>0</xdr:rowOff>
    </xdr:from>
    <xdr:ext cx="266700" cy="266700"/>
    <xdr:pic>
      <xdr:nvPicPr>
        <xdr:cNvPr id="0" name="image315.png" title="Изображение"/>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0</xdr:colOff>
      <xdr:row>537</xdr:row>
      <xdr:rowOff>0</xdr:rowOff>
    </xdr:from>
    <xdr:ext cx="266700" cy="266700"/>
    <xdr:pic>
      <xdr:nvPicPr>
        <xdr:cNvPr id="0" name="image265.png"/>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543</xdr:row>
      <xdr:rowOff>0</xdr:rowOff>
    </xdr:from>
    <xdr:ext cx="266700" cy="266700"/>
    <xdr:pic>
      <xdr:nvPicPr>
        <xdr:cNvPr id="0" name="image271.png"/>
        <xdr:cNvPicPr preferRelativeResize="0"/>
      </xdr:nvPicPr>
      <xdr:blipFill>
        <a:blip cstate="print" r:embed="rId88"/>
        <a:stretch>
          <a:fillRect/>
        </a:stretch>
      </xdr:blipFill>
      <xdr:spPr>
        <a:prstGeom prst="rect">
          <a:avLst/>
        </a:prstGeom>
        <a:noFill/>
      </xdr:spPr>
    </xdr:pic>
    <xdr:clientData fLocksWithSheet="0"/>
  </xdr:oneCellAnchor>
  <xdr:oneCellAnchor>
    <xdr:from>
      <xdr:col>0</xdr:col>
      <xdr:colOff>0</xdr:colOff>
      <xdr:row>549</xdr:row>
      <xdr:rowOff>0</xdr:rowOff>
    </xdr:from>
    <xdr:ext cx="266700" cy="266700"/>
    <xdr:pic>
      <xdr:nvPicPr>
        <xdr:cNvPr id="0" name="image268.png"/>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0</xdr:colOff>
      <xdr:row>555</xdr:row>
      <xdr:rowOff>0</xdr:rowOff>
    </xdr:from>
    <xdr:ext cx="266700" cy="266700"/>
    <xdr:pic>
      <xdr:nvPicPr>
        <xdr:cNvPr id="0" name="image267.png"/>
        <xdr:cNvPicPr preferRelativeResize="0"/>
      </xdr:nvPicPr>
      <xdr:blipFill>
        <a:blip cstate="print" r:embed="rId90"/>
        <a:stretch>
          <a:fillRect/>
        </a:stretch>
      </xdr:blipFill>
      <xdr:spPr>
        <a:prstGeom prst="rect">
          <a:avLst/>
        </a:prstGeom>
        <a:noFill/>
      </xdr:spPr>
    </xdr:pic>
    <xdr:clientData fLocksWithSheet="0"/>
  </xdr:oneCellAnchor>
  <xdr:oneCellAnchor>
    <xdr:from>
      <xdr:col>0</xdr:col>
      <xdr:colOff>0</xdr:colOff>
      <xdr:row>561</xdr:row>
      <xdr:rowOff>0</xdr:rowOff>
    </xdr:from>
    <xdr:ext cx="266700" cy="266700"/>
    <xdr:pic>
      <xdr:nvPicPr>
        <xdr:cNvPr id="0" name="image269.png"/>
        <xdr:cNvPicPr preferRelativeResize="0"/>
      </xdr:nvPicPr>
      <xdr:blipFill>
        <a:blip cstate="print" r:embed="rId91"/>
        <a:stretch>
          <a:fillRect/>
        </a:stretch>
      </xdr:blipFill>
      <xdr:spPr>
        <a:prstGeom prst="rect">
          <a:avLst/>
        </a:prstGeom>
        <a:noFill/>
      </xdr:spPr>
    </xdr:pic>
    <xdr:clientData fLocksWithSheet="0"/>
  </xdr:oneCellAnchor>
  <xdr:oneCellAnchor>
    <xdr:from>
      <xdr:col>0</xdr:col>
      <xdr:colOff>0</xdr:colOff>
      <xdr:row>567</xdr:row>
      <xdr:rowOff>0</xdr:rowOff>
    </xdr:from>
    <xdr:ext cx="266700" cy="266700"/>
    <xdr:pic>
      <xdr:nvPicPr>
        <xdr:cNvPr id="0" name="image266.png"/>
        <xdr:cNvPicPr preferRelativeResize="0"/>
      </xdr:nvPicPr>
      <xdr:blipFill>
        <a:blip cstate="print" r:embed="rId92"/>
        <a:stretch>
          <a:fillRect/>
        </a:stretch>
      </xdr:blipFill>
      <xdr:spPr>
        <a:prstGeom prst="rect">
          <a:avLst/>
        </a:prstGeom>
        <a:noFill/>
      </xdr:spPr>
    </xdr:pic>
    <xdr:clientData fLocksWithSheet="0"/>
  </xdr:oneCellAnchor>
  <xdr:oneCellAnchor>
    <xdr:from>
      <xdr:col>0</xdr:col>
      <xdr:colOff>0</xdr:colOff>
      <xdr:row>573</xdr:row>
      <xdr:rowOff>0</xdr:rowOff>
    </xdr:from>
    <xdr:ext cx="266700" cy="266700"/>
    <xdr:pic>
      <xdr:nvPicPr>
        <xdr:cNvPr id="0" name="image276.png"/>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579</xdr:row>
      <xdr:rowOff>0</xdr:rowOff>
    </xdr:from>
    <xdr:ext cx="266700" cy="266700"/>
    <xdr:pic>
      <xdr:nvPicPr>
        <xdr:cNvPr id="0" name="image272.png"/>
        <xdr:cNvPicPr preferRelativeResize="0"/>
      </xdr:nvPicPr>
      <xdr:blipFill>
        <a:blip cstate="print" r:embed="rId94"/>
        <a:stretch>
          <a:fillRect/>
        </a:stretch>
      </xdr:blipFill>
      <xdr:spPr>
        <a:prstGeom prst="rect">
          <a:avLst/>
        </a:prstGeom>
        <a:noFill/>
      </xdr:spPr>
    </xdr:pic>
    <xdr:clientData fLocksWithSheet="0"/>
  </xdr:oneCellAnchor>
  <xdr:oneCellAnchor>
    <xdr:from>
      <xdr:col>0</xdr:col>
      <xdr:colOff>0</xdr:colOff>
      <xdr:row>585</xdr:row>
      <xdr:rowOff>0</xdr:rowOff>
    </xdr:from>
    <xdr:ext cx="266700" cy="266700"/>
    <xdr:pic>
      <xdr:nvPicPr>
        <xdr:cNvPr id="0" name="image277.png"/>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0</xdr:colOff>
      <xdr:row>591</xdr:row>
      <xdr:rowOff>0</xdr:rowOff>
    </xdr:from>
    <xdr:ext cx="266700" cy="266700"/>
    <xdr:pic>
      <xdr:nvPicPr>
        <xdr:cNvPr id="0" name="image270.png"/>
        <xdr:cNvPicPr preferRelativeResize="0"/>
      </xdr:nvPicPr>
      <xdr:blipFill>
        <a:blip cstate="print" r:embed="rId96"/>
        <a:stretch>
          <a:fillRect/>
        </a:stretch>
      </xdr:blipFill>
      <xdr:spPr>
        <a:prstGeom prst="rect">
          <a:avLst/>
        </a:prstGeom>
        <a:noFill/>
      </xdr:spPr>
    </xdr:pic>
    <xdr:clientData fLocksWithSheet="0"/>
  </xdr:oneCellAnchor>
  <xdr:oneCellAnchor>
    <xdr:from>
      <xdr:col>0</xdr:col>
      <xdr:colOff>0</xdr:colOff>
      <xdr:row>597</xdr:row>
      <xdr:rowOff>0</xdr:rowOff>
    </xdr:from>
    <xdr:ext cx="266700" cy="266700"/>
    <xdr:pic>
      <xdr:nvPicPr>
        <xdr:cNvPr id="0" name="image275.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603</xdr:row>
      <xdr:rowOff>0</xdr:rowOff>
    </xdr:from>
    <xdr:ext cx="276225" cy="276225"/>
    <xdr:pic>
      <xdr:nvPicPr>
        <xdr:cNvPr id="0" name="image279.png"/>
        <xdr:cNvPicPr preferRelativeResize="0"/>
      </xdr:nvPicPr>
      <xdr:blipFill>
        <a:blip cstate="print" r:embed="rId97"/>
        <a:stretch>
          <a:fillRect/>
        </a:stretch>
      </xdr:blipFill>
      <xdr:spPr>
        <a:prstGeom prst="rect">
          <a:avLst/>
        </a:prstGeom>
        <a:noFill/>
      </xdr:spPr>
    </xdr:pic>
    <xdr:clientData fLocksWithSheet="0"/>
  </xdr:oneCellAnchor>
  <xdr:oneCellAnchor>
    <xdr:from>
      <xdr:col>0</xdr:col>
      <xdr:colOff>0</xdr:colOff>
      <xdr:row>609</xdr:row>
      <xdr:rowOff>0</xdr:rowOff>
    </xdr:from>
    <xdr:ext cx="266700" cy="266700"/>
    <xdr:pic>
      <xdr:nvPicPr>
        <xdr:cNvPr id="0" name="image273.png"/>
        <xdr:cNvPicPr preferRelativeResize="0"/>
      </xdr:nvPicPr>
      <xdr:blipFill>
        <a:blip cstate="print" r:embed="rId98"/>
        <a:stretch>
          <a:fillRect/>
        </a:stretch>
      </xdr:blipFill>
      <xdr:spPr>
        <a:prstGeom prst="rect">
          <a:avLst/>
        </a:prstGeom>
        <a:noFill/>
      </xdr:spPr>
    </xdr:pic>
    <xdr:clientData fLocksWithSheet="0"/>
  </xdr:oneCellAnchor>
  <xdr:oneCellAnchor>
    <xdr:from>
      <xdr:col>0</xdr:col>
      <xdr:colOff>0</xdr:colOff>
      <xdr:row>615</xdr:row>
      <xdr:rowOff>0</xdr:rowOff>
    </xdr:from>
    <xdr:ext cx="266700" cy="266700"/>
    <xdr:pic>
      <xdr:nvPicPr>
        <xdr:cNvPr id="0" name="image286.png"/>
        <xdr:cNvPicPr preferRelativeResize="0"/>
      </xdr:nvPicPr>
      <xdr:blipFill>
        <a:blip cstate="print" r:embed="rId99"/>
        <a:stretch>
          <a:fillRect/>
        </a:stretch>
      </xdr:blipFill>
      <xdr:spPr>
        <a:prstGeom prst="rect">
          <a:avLst/>
        </a:prstGeom>
        <a:noFill/>
      </xdr:spPr>
    </xdr:pic>
    <xdr:clientData fLocksWithSheet="0"/>
  </xdr:oneCellAnchor>
  <xdr:oneCellAnchor>
    <xdr:from>
      <xdr:col>0</xdr:col>
      <xdr:colOff>0</xdr:colOff>
      <xdr:row>621</xdr:row>
      <xdr:rowOff>0</xdr:rowOff>
    </xdr:from>
    <xdr:ext cx="266700" cy="266700"/>
    <xdr:pic>
      <xdr:nvPicPr>
        <xdr:cNvPr id="0" name="image274.png"/>
        <xdr:cNvPicPr preferRelativeResize="0"/>
      </xdr:nvPicPr>
      <xdr:blipFill>
        <a:blip cstate="print" r:embed="rId100"/>
        <a:stretch>
          <a:fillRect/>
        </a:stretch>
      </xdr:blipFill>
      <xdr:spPr>
        <a:prstGeom prst="rect">
          <a:avLst/>
        </a:prstGeom>
        <a:noFill/>
      </xdr:spPr>
    </xdr:pic>
    <xdr:clientData fLocksWithSheet="0"/>
  </xdr:oneCellAnchor>
  <xdr:oneCellAnchor>
    <xdr:from>
      <xdr:col>0</xdr:col>
      <xdr:colOff>0</xdr:colOff>
      <xdr:row>627</xdr:row>
      <xdr:rowOff>0</xdr:rowOff>
    </xdr:from>
    <xdr:ext cx="266700" cy="266700"/>
    <xdr:pic>
      <xdr:nvPicPr>
        <xdr:cNvPr id="0" name="image283.png"/>
        <xdr:cNvPicPr preferRelativeResize="0"/>
      </xdr:nvPicPr>
      <xdr:blipFill>
        <a:blip cstate="print" r:embed="rId101"/>
        <a:stretch>
          <a:fillRect/>
        </a:stretch>
      </xdr:blipFill>
      <xdr:spPr>
        <a:prstGeom prst="rect">
          <a:avLst/>
        </a:prstGeom>
        <a:noFill/>
      </xdr:spPr>
    </xdr:pic>
    <xdr:clientData fLocksWithSheet="0"/>
  </xdr:oneCellAnchor>
  <xdr:oneCellAnchor>
    <xdr:from>
      <xdr:col>0</xdr:col>
      <xdr:colOff>0</xdr:colOff>
      <xdr:row>633</xdr:row>
      <xdr:rowOff>0</xdr:rowOff>
    </xdr:from>
    <xdr:ext cx="266700" cy="266700"/>
    <xdr:pic>
      <xdr:nvPicPr>
        <xdr:cNvPr id="0" name="image278.png"/>
        <xdr:cNvPicPr preferRelativeResize="0"/>
      </xdr:nvPicPr>
      <xdr:blipFill>
        <a:blip cstate="print" r:embed="rId102"/>
        <a:stretch>
          <a:fillRect/>
        </a:stretch>
      </xdr:blipFill>
      <xdr:spPr>
        <a:prstGeom prst="rect">
          <a:avLst/>
        </a:prstGeom>
        <a:noFill/>
      </xdr:spPr>
    </xdr:pic>
    <xdr:clientData fLocksWithSheet="0"/>
  </xdr:oneCellAnchor>
  <xdr:oneCellAnchor>
    <xdr:from>
      <xdr:col>0</xdr:col>
      <xdr:colOff>0</xdr:colOff>
      <xdr:row>639</xdr:row>
      <xdr:rowOff>0</xdr:rowOff>
    </xdr:from>
    <xdr:ext cx="266700" cy="266700"/>
    <xdr:pic>
      <xdr:nvPicPr>
        <xdr:cNvPr id="0" name="image287.png"/>
        <xdr:cNvPicPr preferRelativeResize="0"/>
      </xdr:nvPicPr>
      <xdr:blipFill>
        <a:blip cstate="print" r:embed="rId103"/>
        <a:stretch>
          <a:fillRect/>
        </a:stretch>
      </xdr:blipFill>
      <xdr:spPr>
        <a:prstGeom prst="rect">
          <a:avLst/>
        </a:prstGeom>
        <a:noFill/>
      </xdr:spPr>
    </xdr:pic>
    <xdr:clientData fLocksWithSheet="0"/>
  </xdr:oneCellAnchor>
  <xdr:oneCellAnchor>
    <xdr:from>
      <xdr:col>0</xdr:col>
      <xdr:colOff>0</xdr:colOff>
      <xdr:row>645</xdr:row>
      <xdr:rowOff>0</xdr:rowOff>
    </xdr:from>
    <xdr:ext cx="266700" cy="266700"/>
    <xdr:pic>
      <xdr:nvPicPr>
        <xdr:cNvPr id="0" name="image280.png"/>
        <xdr:cNvPicPr preferRelativeResize="0"/>
      </xdr:nvPicPr>
      <xdr:blipFill>
        <a:blip cstate="print" r:embed="rId104"/>
        <a:stretch>
          <a:fillRect/>
        </a:stretch>
      </xdr:blipFill>
      <xdr:spPr>
        <a:prstGeom prst="rect">
          <a:avLst/>
        </a:prstGeom>
        <a:noFill/>
      </xdr:spPr>
    </xdr:pic>
    <xdr:clientData fLocksWithSheet="0"/>
  </xdr:oneCellAnchor>
  <xdr:oneCellAnchor>
    <xdr:from>
      <xdr:col>0</xdr:col>
      <xdr:colOff>0</xdr:colOff>
      <xdr:row>651</xdr:row>
      <xdr:rowOff>0</xdr:rowOff>
    </xdr:from>
    <xdr:ext cx="266700" cy="266700"/>
    <xdr:pic>
      <xdr:nvPicPr>
        <xdr:cNvPr id="0" name="image285.png"/>
        <xdr:cNvPicPr preferRelativeResize="0"/>
      </xdr:nvPicPr>
      <xdr:blipFill>
        <a:blip cstate="print" r:embed="rId105"/>
        <a:stretch>
          <a:fillRect/>
        </a:stretch>
      </xdr:blipFill>
      <xdr:spPr>
        <a:prstGeom prst="rect">
          <a:avLst/>
        </a:prstGeom>
        <a:noFill/>
      </xdr:spPr>
    </xdr:pic>
    <xdr:clientData fLocksWithSheet="0"/>
  </xdr:oneCellAnchor>
  <xdr:oneCellAnchor>
    <xdr:from>
      <xdr:col>0</xdr:col>
      <xdr:colOff>0</xdr:colOff>
      <xdr:row>657</xdr:row>
      <xdr:rowOff>0</xdr:rowOff>
    </xdr:from>
    <xdr:ext cx="266700" cy="266700"/>
    <xdr:pic>
      <xdr:nvPicPr>
        <xdr:cNvPr id="0" name="image290.png"/>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663</xdr:row>
      <xdr:rowOff>0</xdr:rowOff>
    </xdr:from>
    <xdr:ext cx="266700" cy="266700"/>
    <xdr:pic>
      <xdr:nvPicPr>
        <xdr:cNvPr id="0" name="image281.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669</xdr:row>
      <xdr:rowOff>0</xdr:rowOff>
    </xdr:from>
    <xdr:ext cx="266700" cy="266700"/>
    <xdr:pic>
      <xdr:nvPicPr>
        <xdr:cNvPr id="0" name="image284.png"/>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0</xdr:colOff>
      <xdr:row>675</xdr:row>
      <xdr:rowOff>0</xdr:rowOff>
    </xdr:from>
    <xdr:ext cx="276225" cy="276225"/>
    <xdr:pic>
      <xdr:nvPicPr>
        <xdr:cNvPr id="0" name="image288.png"/>
        <xdr:cNvPicPr preferRelativeResize="0"/>
      </xdr:nvPicPr>
      <xdr:blipFill>
        <a:blip cstate="print" r:embed="rId108"/>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257175" cy="257175"/>
    <xdr:pic>
      <xdr:nvPicPr>
        <xdr:cNvPr id="0" name="image29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xdr:row>
      <xdr:rowOff>0</xdr:rowOff>
    </xdr:from>
    <xdr:ext cx="257175" cy="257175"/>
    <xdr:pic>
      <xdr:nvPicPr>
        <xdr:cNvPr id="0" name="image20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16</xdr:row>
      <xdr:rowOff>0</xdr:rowOff>
    </xdr:from>
    <xdr:ext cx="257175" cy="257175"/>
    <xdr:pic>
      <xdr:nvPicPr>
        <xdr:cNvPr id="0" name="image29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23</xdr:row>
      <xdr:rowOff>0</xdr:rowOff>
    </xdr:from>
    <xdr:ext cx="257175" cy="257175"/>
    <xdr:pic>
      <xdr:nvPicPr>
        <xdr:cNvPr id="0" name="image295.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30</xdr:row>
      <xdr:rowOff>0</xdr:rowOff>
    </xdr:from>
    <xdr:ext cx="257175" cy="257175"/>
    <xdr:pic>
      <xdr:nvPicPr>
        <xdr:cNvPr id="0" name="image289.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37</xdr:row>
      <xdr:rowOff>0</xdr:rowOff>
    </xdr:from>
    <xdr:ext cx="257175" cy="257175"/>
    <xdr:pic>
      <xdr:nvPicPr>
        <xdr:cNvPr id="0" name="image293.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44</xdr:row>
      <xdr:rowOff>0</xdr:rowOff>
    </xdr:from>
    <xdr:ext cx="257175" cy="257175"/>
    <xdr:pic>
      <xdr:nvPicPr>
        <xdr:cNvPr id="0" name="image29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51</xdr:row>
      <xdr:rowOff>0</xdr:rowOff>
    </xdr:from>
    <xdr:ext cx="257175" cy="257175"/>
    <xdr:pic>
      <xdr:nvPicPr>
        <xdr:cNvPr id="0" name="image298.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58</xdr:row>
      <xdr:rowOff>0</xdr:rowOff>
    </xdr:from>
    <xdr:ext cx="257175" cy="257175"/>
    <xdr:pic>
      <xdr:nvPicPr>
        <xdr:cNvPr id="0" name="image292.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65</xdr:row>
      <xdr:rowOff>0</xdr:rowOff>
    </xdr:from>
    <xdr:ext cx="257175" cy="257175"/>
    <xdr:pic>
      <xdr:nvPicPr>
        <xdr:cNvPr id="0" name="image308.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72</xdr:row>
      <xdr:rowOff>0</xdr:rowOff>
    </xdr:from>
    <xdr:ext cx="257175" cy="257175"/>
    <xdr:pic>
      <xdr:nvPicPr>
        <xdr:cNvPr id="0" name="image354.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79</xdr:row>
      <xdr:rowOff>0</xdr:rowOff>
    </xdr:from>
    <xdr:ext cx="257175" cy="257175"/>
    <xdr:pic>
      <xdr:nvPicPr>
        <xdr:cNvPr id="0" name="image301.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0</xdr:rowOff>
    </xdr:from>
    <xdr:ext cx="257175" cy="257175"/>
    <xdr:pic>
      <xdr:nvPicPr>
        <xdr:cNvPr id="0" name="image299.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93</xdr:row>
      <xdr:rowOff>0</xdr:rowOff>
    </xdr:from>
    <xdr:ext cx="257175" cy="257175"/>
    <xdr:pic>
      <xdr:nvPicPr>
        <xdr:cNvPr id="0" name="image316.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100</xdr:row>
      <xdr:rowOff>0</xdr:rowOff>
    </xdr:from>
    <xdr:ext cx="257175" cy="257175"/>
    <xdr:pic>
      <xdr:nvPicPr>
        <xdr:cNvPr id="0" name="image303.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107</xdr:row>
      <xdr:rowOff>0</xdr:rowOff>
    </xdr:from>
    <xdr:ext cx="257175" cy="257175"/>
    <xdr:pic>
      <xdr:nvPicPr>
        <xdr:cNvPr id="0" name="image328.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114</xdr:row>
      <xdr:rowOff>0</xdr:rowOff>
    </xdr:from>
    <xdr:ext cx="257175" cy="257175"/>
    <xdr:pic>
      <xdr:nvPicPr>
        <xdr:cNvPr id="0" name="image304.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121</xdr:row>
      <xdr:rowOff>0</xdr:rowOff>
    </xdr:from>
    <xdr:ext cx="257175" cy="257175"/>
    <xdr:pic>
      <xdr:nvPicPr>
        <xdr:cNvPr id="0" name="image305.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128</xdr:row>
      <xdr:rowOff>0</xdr:rowOff>
    </xdr:from>
    <xdr:ext cx="257175" cy="257175"/>
    <xdr:pic>
      <xdr:nvPicPr>
        <xdr:cNvPr id="0" name="image306.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135</xdr:row>
      <xdr:rowOff>0</xdr:rowOff>
    </xdr:from>
    <xdr:ext cx="238125" cy="257175"/>
    <xdr:pic>
      <xdr:nvPicPr>
        <xdr:cNvPr id="0" name="image300.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142</xdr:row>
      <xdr:rowOff>0</xdr:rowOff>
    </xdr:from>
    <xdr:ext cx="257175" cy="257175"/>
    <xdr:pic>
      <xdr:nvPicPr>
        <xdr:cNvPr id="0" name="image307.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149</xdr:row>
      <xdr:rowOff>0</xdr:rowOff>
    </xdr:from>
    <xdr:ext cx="257175" cy="257175"/>
    <xdr:pic>
      <xdr:nvPicPr>
        <xdr:cNvPr id="0" name="image302.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156</xdr:row>
      <xdr:rowOff>0</xdr:rowOff>
    </xdr:from>
    <xdr:ext cx="257175" cy="257175"/>
    <xdr:pic>
      <xdr:nvPicPr>
        <xdr:cNvPr id="0" name="image311.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163</xdr:row>
      <xdr:rowOff>0</xdr:rowOff>
    </xdr:from>
    <xdr:ext cx="257175" cy="257175"/>
    <xdr:pic>
      <xdr:nvPicPr>
        <xdr:cNvPr id="0" name="image309.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170</xdr:row>
      <xdr:rowOff>0</xdr:rowOff>
    </xdr:from>
    <xdr:ext cx="257175" cy="257175"/>
    <xdr:pic>
      <xdr:nvPicPr>
        <xdr:cNvPr id="0" name="image310.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177</xdr:row>
      <xdr:rowOff>0</xdr:rowOff>
    </xdr:from>
    <xdr:ext cx="257175" cy="257175"/>
    <xdr:pic>
      <xdr:nvPicPr>
        <xdr:cNvPr id="0" name="image313.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184</xdr:row>
      <xdr:rowOff>0</xdr:rowOff>
    </xdr:from>
    <xdr:ext cx="257175" cy="257175"/>
    <xdr:pic>
      <xdr:nvPicPr>
        <xdr:cNvPr id="0" name="image322.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191</xdr:row>
      <xdr:rowOff>0</xdr:rowOff>
    </xdr:from>
    <xdr:ext cx="257175" cy="257175"/>
    <xdr:pic>
      <xdr:nvPicPr>
        <xdr:cNvPr id="0" name="image312.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198</xdr:row>
      <xdr:rowOff>0</xdr:rowOff>
    </xdr:from>
    <xdr:ext cx="257175" cy="257175"/>
    <xdr:pic>
      <xdr:nvPicPr>
        <xdr:cNvPr id="0" name="image325.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205</xdr:row>
      <xdr:rowOff>0</xdr:rowOff>
    </xdr:from>
    <xdr:ext cx="257175" cy="257175"/>
    <xdr:pic>
      <xdr:nvPicPr>
        <xdr:cNvPr id="0" name="image333.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212</xdr:row>
      <xdr:rowOff>0</xdr:rowOff>
    </xdr:from>
    <xdr:ext cx="257175" cy="257175"/>
    <xdr:pic>
      <xdr:nvPicPr>
        <xdr:cNvPr id="0" name="image319.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219</xdr:row>
      <xdr:rowOff>0</xdr:rowOff>
    </xdr:from>
    <xdr:ext cx="257175" cy="257175"/>
    <xdr:pic>
      <xdr:nvPicPr>
        <xdr:cNvPr id="0" name="image314.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226</xdr:row>
      <xdr:rowOff>0</xdr:rowOff>
    </xdr:from>
    <xdr:ext cx="257175" cy="257175"/>
    <xdr:pic>
      <xdr:nvPicPr>
        <xdr:cNvPr id="0" name="image320.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233</xdr:row>
      <xdr:rowOff>0</xdr:rowOff>
    </xdr:from>
    <xdr:ext cx="257175" cy="257175"/>
    <xdr:pic>
      <xdr:nvPicPr>
        <xdr:cNvPr id="0" name="image343.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240</xdr:row>
      <xdr:rowOff>0</xdr:rowOff>
    </xdr:from>
    <xdr:ext cx="257175" cy="257175"/>
    <xdr:pic>
      <xdr:nvPicPr>
        <xdr:cNvPr id="0" name="image339.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247</xdr:row>
      <xdr:rowOff>0</xdr:rowOff>
    </xdr:from>
    <xdr:ext cx="247650" cy="247650"/>
    <xdr:pic>
      <xdr:nvPicPr>
        <xdr:cNvPr id="0" name="image317.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254</xdr:row>
      <xdr:rowOff>0</xdr:rowOff>
    </xdr:from>
    <xdr:ext cx="257175" cy="257175"/>
    <xdr:pic>
      <xdr:nvPicPr>
        <xdr:cNvPr id="0" name="image321.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261</xdr:row>
      <xdr:rowOff>0</xdr:rowOff>
    </xdr:from>
    <xdr:ext cx="257175" cy="257175"/>
    <xdr:pic>
      <xdr:nvPicPr>
        <xdr:cNvPr id="0" name="image318.png" title="Изображение"/>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268</xdr:row>
      <xdr:rowOff>0</xdr:rowOff>
    </xdr:from>
    <xdr:ext cx="257175" cy="257175"/>
    <xdr:pic>
      <xdr:nvPicPr>
        <xdr:cNvPr id="0" name="image323.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275</xdr:row>
      <xdr:rowOff>0</xdr:rowOff>
    </xdr:from>
    <xdr:ext cx="257175" cy="257175"/>
    <xdr:pic>
      <xdr:nvPicPr>
        <xdr:cNvPr id="0" name="image324.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282</xdr:row>
      <xdr:rowOff>0</xdr:rowOff>
    </xdr:from>
    <xdr:ext cx="257175" cy="257175"/>
    <xdr:pic>
      <xdr:nvPicPr>
        <xdr:cNvPr id="0" name="image351.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289</xdr:row>
      <xdr:rowOff>0</xdr:rowOff>
    </xdr:from>
    <xdr:ext cx="257175" cy="257175"/>
    <xdr:pic>
      <xdr:nvPicPr>
        <xdr:cNvPr id="0" name="image330.pn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296</xdr:row>
      <xdr:rowOff>0</xdr:rowOff>
    </xdr:from>
    <xdr:ext cx="257175" cy="257175"/>
    <xdr:pic>
      <xdr:nvPicPr>
        <xdr:cNvPr id="0" name="image326.pn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303</xdr:row>
      <xdr:rowOff>0</xdr:rowOff>
    </xdr:from>
    <xdr:ext cx="257175" cy="257175"/>
    <xdr:pic>
      <xdr:nvPicPr>
        <xdr:cNvPr id="0" name="image327.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310</xdr:row>
      <xdr:rowOff>0</xdr:rowOff>
    </xdr:from>
    <xdr:ext cx="257175" cy="257175"/>
    <xdr:pic>
      <xdr:nvPicPr>
        <xdr:cNvPr id="0" name="image331.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317</xdr:row>
      <xdr:rowOff>0</xdr:rowOff>
    </xdr:from>
    <xdr:ext cx="257175" cy="257175"/>
    <xdr:pic>
      <xdr:nvPicPr>
        <xdr:cNvPr id="0" name="image332.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324</xdr:row>
      <xdr:rowOff>0</xdr:rowOff>
    </xdr:from>
    <xdr:ext cx="257175" cy="257175"/>
    <xdr:pic>
      <xdr:nvPicPr>
        <xdr:cNvPr id="0" name="image329.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331</xdr:row>
      <xdr:rowOff>0</xdr:rowOff>
    </xdr:from>
    <xdr:ext cx="257175" cy="257175"/>
    <xdr:pic>
      <xdr:nvPicPr>
        <xdr:cNvPr id="0" name="image336.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338</xdr:row>
      <xdr:rowOff>0</xdr:rowOff>
    </xdr:from>
    <xdr:ext cx="257175" cy="257175"/>
    <xdr:pic>
      <xdr:nvPicPr>
        <xdr:cNvPr id="0" name="image337.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345</xdr:row>
      <xdr:rowOff>0</xdr:rowOff>
    </xdr:from>
    <xdr:ext cx="257175" cy="257175"/>
    <xdr:pic>
      <xdr:nvPicPr>
        <xdr:cNvPr id="0" name="image334.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352</xdr:row>
      <xdr:rowOff>0</xdr:rowOff>
    </xdr:from>
    <xdr:ext cx="257175" cy="257175"/>
    <xdr:pic>
      <xdr:nvPicPr>
        <xdr:cNvPr id="0" name="image341.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359</xdr:row>
      <xdr:rowOff>0</xdr:rowOff>
    </xdr:from>
    <xdr:ext cx="257175" cy="257175"/>
    <xdr:pic>
      <xdr:nvPicPr>
        <xdr:cNvPr id="0" name="image338.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366</xdr:row>
      <xdr:rowOff>0</xdr:rowOff>
    </xdr:from>
    <xdr:ext cx="257175" cy="257175"/>
    <xdr:pic>
      <xdr:nvPicPr>
        <xdr:cNvPr id="0" name="image346.pn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373</xdr:row>
      <xdr:rowOff>0</xdr:rowOff>
    </xdr:from>
    <xdr:ext cx="257175" cy="257175"/>
    <xdr:pic>
      <xdr:nvPicPr>
        <xdr:cNvPr id="0" name="image342.png" title="Изображение"/>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380</xdr:row>
      <xdr:rowOff>0</xdr:rowOff>
    </xdr:from>
    <xdr:ext cx="257175" cy="257175"/>
    <xdr:pic>
      <xdr:nvPicPr>
        <xdr:cNvPr id="0" name="image345.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387</xdr:row>
      <xdr:rowOff>0</xdr:rowOff>
    </xdr:from>
    <xdr:ext cx="257175" cy="257175"/>
    <xdr:pic>
      <xdr:nvPicPr>
        <xdr:cNvPr id="0" name="image340.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394</xdr:row>
      <xdr:rowOff>0</xdr:rowOff>
    </xdr:from>
    <xdr:ext cx="257175" cy="257175"/>
    <xdr:pic>
      <xdr:nvPicPr>
        <xdr:cNvPr id="0" name="image347.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401</xdr:row>
      <xdr:rowOff>0</xdr:rowOff>
    </xdr:from>
    <xdr:ext cx="257175" cy="257175"/>
    <xdr:pic>
      <xdr:nvPicPr>
        <xdr:cNvPr id="0" name="image335.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408</xdr:row>
      <xdr:rowOff>0</xdr:rowOff>
    </xdr:from>
    <xdr:ext cx="257175" cy="257175"/>
    <xdr:pic>
      <xdr:nvPicPr>
        <xdr:cNvPr id="0" name="image348.pn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415</xdr:row>
      <xdr:rowOff>0</xdr:rowOff>
    </xdr:from>
    <xdr:ext cx="257175" cy="257175"/>
    <xdr:pic>
      <xdr:nvPicPr>
        <xdr:cNvPr id="0" name="image344.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422</xdr:row>
      <xdr:rowOff>0</xdr:rowOff>
    </xdr:from>
    <xdr:ext cx="257175" cy="257175"/>
    <xdr:pic>
      <xdr:nvPicPr>
        <xdr:cNvPr id="0" name="image349.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429</xdr:row>
      <xdr:rowOff>0</xdr:rowOff>
    </xdr:from>
    <xdr:ext cx="257175" cy="257175"/>
    <xdr:pic>
      <xdr:nvPicPr>
        <xdr:cNvPr id="0" name="image353.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436</xdr:row>
      <xdr:rowOff>0</xdr:rowOff>
    </xdr:from>
    <xdr:ext cx="257175" cy="257175"/>
    <xdr:pic>
      <xdr:nvPicPr>
        <xdr:cNvPr id="0" name="image408.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443</xdr:row>
      <xdr:rowOff>0</xdr:rowOff>
    </xdr:from>
    <xdr:ext cx="257175" cy="257175"/>
    <xdr:pic>
      <xdr:nvPicPr>
        <xdr:cNvPr id="0" name="image350.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450</xdr:row>
      <xdr:rowOff>0</xdr:rowOff>
    </xdr:from>
    <xdr:ext cx="257175" cy="257175"/>
    <xdr:pic>
      <xdr:nvPicPr>
        <xdr:cNvPr id="0" name="image352.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457</xdr:row>
      <xdr:rowOff>0</xdr:rowOff>
    </xdr:from>
    <xdr:ext cx="257175" cy="257175"/>
    <xdr:pic>
      <xdr:nvPicPr>
        <xdr:cNvPr id="0" name="image356.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464</xdr:row>
      <xdr:rowOff>0</xdr:rowOff>
    </xdr:from>
    <xdr:ext cx="257175" cy="257175"/>
    <xdr:pic>
      <xdr:nvPicPr>
        <xdr:cNvPr id="0" name="image358.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471</xdr:row>
      <xdr:rowOff>0</xdr:rowOff>
    </xdr:from>
    <xdr:ext cx="257175" cy="257175"/>
    <xdr:pic>
      <xdr:nvPicPr>
        <xdr:cNvPr id="0" name="image365.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478</xdr:row>
      <xdr:rowOff>0</xdr:rowOff>
    </xdr:from>
    <xdr:ext cx="257175" cy="257175"/>
    <xdr:pic>
      <xdr:nvPicPr>
        <xdr:cNvPr id="0" name="image357.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485</xdr:row>
      <xdr:rowOff>0</xdr:rowOff>
    </xdr:from>
    <xdr:ext cx="257175" cy="257175"/>
    <xdr:pic>
      <xdr:nvPicPr>
        <xdr:cNvPr id="0" name="image363.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492</xdr:row>
      <xdr:rowOff>0</xdr:rowOff>
    </xdr:from>
    <xdr:ext cx="257175" cy="257175"/>
    <xdr:pic>
      <xdr:nvPicPr>
        <xdr:cNvPr id="0" name="image355.png" title="Изображение"/>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499</xdr:row>
      <xdr:rowOff>0</xdr:rowOff>
    </xdr:from>
    <xdr:ext cx="257175" cy="257175"/>
    <xdr:pic>
      <xdr:nvPicPr>
        <xdr:cNvPr id="0" name="image364.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506</xdr:row>
      <xdr:rowOff>0</xdr:rowOff>
    </xdr:from>
    <xdr:ext cx="257175" cy="257175"/>
    <xdr:pic>
      <xdr:nvPicPr>
        <xdr:cNvPr id="0" name="image359.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513</xdr:row>
      <xdr:rowOff>0</xdr:rowOff>
    </xdr:from>
    <xdr:ext cx="257175" cy="257175"/>
    <xdr:pic>
      <xdr:nvPicPr>
        <xdr:cNvPr id="0" name="image361.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520</xdr:row>
      <xdr:rowOff>0</xdr:rowOff>
    </xdr:from>
    <xdr:ext cx="257175" cy="257175"/>
    <xdr:pic>
      <xdr:nvPicPr>
        <xdr:cNvPr id="0" name="image360.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527</xdr:row>
      <xdr:rowOff>0</xdr:rowOff>
    </xdr:from>
    <xdr:ext cx="257175" cy="257175"/>
    <xdr:pic>
      <xdr:nvPicPr>
        <xdr:cNvPr id="0" name="image367.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534</xdr:row>
      <xdr:rowOff>0</xdr:rowOff>
    </xdr:from>
    <xdr:ext cx="257175" cy="257175"/>
    <xdr:pic>
      <xdr:nvPicPr>
        <xdr:cNvPr id="0" name="image371.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541</xdr:row>
      <xdr:rowOff>0</xdr:rowOff>
    </xdr:from>
    <xdr:ext cx="257175" cy="257175"/>
    <xdr:pic>
      <xdr:nvPicPr>
        <xdr:cNvPr id="0" name="image374.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548</xdr:row>
      <xdr:rowOff>0</xdr:rowOff>
    </xdr:from>
    <xdr:ext cx="257175" cy="257175"/>
    <xdr:pic>
      <xdr:nvPicPr>
        <xdr:cNvPr id="0" name="image375.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555</xdr:row>
      <xdr:rowOff>0</xdr:rowOff>
    </xdr:from>
    <xdr:ext cx="257175" cy="257175"/>
    <xdr:pic>
      <xdr:nvPicPr>
        <xdr:cNvPr id="0" name="image372.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562</xdr:row>
      <xdr:rowOff>0</xdr:rowOff>
    </xdr:from>
    <xdr:ext cx="257175" cy="257175"/>
    <xdr:pic>
      <xdr:nvPicPr>
        <xdr:cNvPr id="0" name="image370.png"/>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0</xdr:colOff>
      <xdr:row>569</xdr:row>
      <xdr:rowOff>0</xdr:rowOff>
    </xdr:from>
    <xdr:ext cx="257175" cy="257175"/>
    <xdr:pic>
      <xdr:nvPicPr>
        <xdr:cNvPr id="0" name="image362.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576</xdr:row>
      <xdr:rowOff>0</xdr:rowOff>
    </xdr:from>
    <xdr:ext cx="257175" cy="257175"/>
    <xdr:pic>
      <xdr:nvPicPr>
        <xdr:cNvPr id="0" name="image366.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583</xdr:row>
      <xdr:rowOff>0</xdr:rowOff>
    </xdr:from>
    <xdr:ext cx="257175" cy="257175"/>
    <xdr:pic>
      <xdr:nvPicPr>
        <xdr:cNvPr id="0" name="image368.png"/>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590</xdr:row>
      <xdr:rowOff>0</xdr:rowOff>
    </xdr:from>
    <xdr:ext cx="257175" cy="257175"/>
    <xdr:pic>
      <xdr:nvPicPr>
        <xdr:cNvPr id="0" name="image369.png"/>
        <xdr:cNvPicPr preferRelativeResize="0"/>
      </xdr:nvPicPr>
      <xdr:blipFill>
        <a:blip cstate="print" r:embed="rId81"/>
        <a:stretch>
          <a:fillRect/>
        </a:stretch>
      </xdr:blipFill>
      <xdr:spPr>
        <a:prstGeom prst="rect">
          <a:avLst/>
        </a:prstGeom>
        <a:noFill/>
      </xdr:spPr>
    </xdr:pic>
    <xdr:clientData fLocksWithSheet="0"/>
  </xdr:oneCellAnchor>
  <xdr:oneCellAnchor>
    <xdr:from>
      <xdr:col>0</xdr:col>
      <xdr:colOff>0</xdr:colOff>
      <xdr:row>597</xdr:row>
      <xdr:rowOff>0</xdr:rowOff>
    </xdr:from>
    <xdr:ext cx="257175" cy="257175"/>
    <xdr:pic>
      <xdr:nvPicPr>
        <xdr:cNvPr id="0" name="image376.png"/>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0</xdr:colOff>
      <xdr:row>604</xdr:row>
      <xdr:rowOff>0</xdr:rowOff>
    </xdr:from>
    <xdr:ext cx="257175" cy="257175"/>
    <xdr:pic>
      <xdr:nvPicPr>
        <xdr:cNvPr id="0" name="image373.png"/>
        <xdr:cNvPicPr preferRelativeResize="0"/>
      </xdr:nvPicPr>
      <xdr:blipFill>
        <a:blip cstate="print" r:embed="rId83"/>
        <a:stretch>
          <a:fillRect/>
        </a:stretch>
      </xdr:blipFill>
      <xdr:spPr>
        <a:prstGeom prst="rect">
          <a:avLst/>
        </a:prstGeom>
        <a:noFill/>
      </xdr:spPr>
    </xdr:pic>
    <xdr:clientData fLocksWithSheet="0"/>
  </xdr:oneCellAnchor>
  <xdr:oneCellAnchor>
    <xdr:from>
      <xdr:col>0</xdr:col>
      <xdr:colOff>0</xdr:colOff>
      <xdr:row>611</xdr:row>
      <xdr:rowOff>0</xdr:rowOff>
    </xdr:from>
    <xdr:ext cx="257175" cy="257175"/>
    <xdr:pic>
      <xdr:nvPicPr>
        <xdr:cNvPr id="0" name="image377.png"/>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0</xdr:colOff>
      <xdr:row>618</xdr:row>
      <xdr:rowOff>0</xdr:rowOff>
    </xdr:from>
    <xdr:ext cx="257175" cy="257175"/>
    <xdr:pic>
      <xdr:nvPicPr>
        <xdr:cNvPr id="0" name="image383.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625</xdr:row>
      <xdr:rowOff>0</xdr:rowOff>
    </xdr:from>
    <xdr:ext cx="257175" cy="257175"/>
    <xdr:pic>
      <xdr:nvPicPr>
        <xdr:cNvPr id="0" name="image378.png"/>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0</xdr:colOff>
      <xdr:row>632</xdr:row>
      <xdr:rowOff>0</xdr:rowOff>
    </xdr:from>
    <xdr:ext cx="257175" cy="257175"/>
    <xdr:pic>
      <xdr:nvPicPr>
        <xdr:cNvPr id="0" name="image380.png"/>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639</xdr:row>
      <xdr:rowOff>0</xdr:rowOff>
    </xdr:from>
    <xdr:ext cx="257175" cy="257175"/>
    <xdr:pic>
      <xdr:nvPicPr>
        <xdr:cNvPr id="0" name="image379.png"/>
        <xdr:cNvPicPr preferRelativeResize="0"/>
      </xdr:nvPicPr>
      <xdr:blipFill>
        <a:blip cstate="print" r:embed="rId88"/>
        <a:stretch>
          <a:fillRect/>
        </a:stretch>
      </xdr:blipFill>
      <xdr:spPr>
        <a:prstGeom prst="rect">
          <a:avLst/>
        </a:prstGeom>
        <a:noFill/>
      </xdr:spPr>
    </xdr:pic>
    <xdr:clientData fLocksWithSheet="0"/>
  </xdr:oneCellAnchor>
  <xdr:oneCellAnchor>
    <xdr:from>
      <xdr:col>0</xdr:col>
      <xdr:colOff>0</xdr:colOff>
      <xdr:row>646</xdr:row>
      <xdr:rowOff>0</xdr:rowOff>
    </xdr:from>
    <xdr:ext cx="257175" cy="257175"/>
    <xdr:pic>
      <xdr:nvPicPr>
        <xdr:cNvPr id="0" name="image393.png"/>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0</xdr:colOff>
      <xdr:row>653</xdr:row>
      <xdr:rowOff>0</xdr:rowOff>
    </xdr:from>
    <xdr:ext cx="257175" cy="257175"/>
    <xdr:pic>
      <xdr:nvPicPr>
        <xdr:cNvPr id="0" name="image388.png"/>
        <xdr:cNvPicPr preferRelativeResize="0"/>
      </xdr:nvPicPr>
      <xdr:blipFill>
        <a:blip cstate="print" r:embed="rId90"/>
        <a:stretch>
          <a:fillRect/>
        </a:stretch>
      </xdr:blipFill>
      <xdr:spPr>
        <a:prstGeom prst="rect">
          <a:avLst/>
        </a:prstGeom>
        <a:noFill/>
      </xdr:spPr>
    </xdr:pic>
    <xdr:clientData fLocksWithSheet="0"/>
  </xdr:oneCellAnchor>
  <xdr:oneCellAnchor>
    <xdr:from>
      <xdr:col>0</xdr:col>
      <xdr:colOff>0</xdr:colOff>
      <xdr:row>660</xdr:row>
      <xdr:rowOff>0</xdr:rowOff>
    </xdr:from>
    <xdr:ext cx="257175" cy="257175"/>
    <xdr:pic>
      <xdr:nvPicPr>
        <xdr:cNvPr id="0" name="image387.png"/>
        <xdr:cNvPicPr preferRelativeResize="0"/>
      </xdr:nvPicPr>
      <xdr:blipFill>
        <a:blip cstate="print" r:embed="rId91"/>
        <a:stretch>
          <a:fillRect/>
        </a:stretch>
      </xdr:blipFill>
      <xdr:spPr>
        <a:prstGeom prst="rect">
          <a:avLst/>
        </a:prstGeom>
        <a:noFill/>
      </xdr:spPr>
    </xdr:pic>
    <xdr:clientData fLocksWithSheet="0"/>
  </xdr:oneCellAnchor>
  <xdr:oneCellAnchor>
    <xdr:from>
      <xdr:col>0</xdr:col>
      <xdr:colOff>0</xdr:colOff>
      <xdr:row>667</xdr:row>
      <xdr:rowOff>0</xdr:rowOff>
    </xdr:from>
    <xdr:ext cx="257175" cy="257175"/>
    <xdr:pic>
      <xdr:nvPicPr>
        <xdr:cNvPr id="0" name="image395.png"/>
        <xdr:cNvPicPr preferRelativeResize="0"/>
      </xdr:nvPicPr>
      <xdr:blipFill>
        <a:blip cstate="print" r:embed="rId92"/>
        <a:stretch>
          <a:fillRect/>
        </a:stretch>
      </xdr:blipFill>
      <xdr:spPr>
        <a:prstGeom prst="rect">
          <a:avLst/>
        </a:prstGeom>
        <a:noFill/>
      </xdr:spPr>
    </xdr:pic>
    <xdr:clientData fLocksWithSheet="0"/>
  </xdr:oneCellAnchor>
  <xdr:oneCellAnchor>
    <xdr:from>
      <xdr:col>0</xdr:col>
      <xdr:colOff>0</xdr:colOff>
      <xdr:row>674</xdr:row>
      <xdr:rowOff>0</xdr:rowOff>
    </xdr:from>
    <xdr:ext cx="257175" cy="257175"/>
    <xdr:pic>
      <xdr:nvPicPr>
        <xdr:cNvPr id="0" name="image389.png"/>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681</xdr:row>
      <xdr:rowOff>0</xdr:rowOff>
    </xdr:from>
    <xdr:ext cx="257175" cy="257175"/>
    <xdr:pic>
      <xdr:nvPicPr>
        <xdr:cNvPr id="0" name="image391.png"/>
        <xdr:cNvPicPr preferRelativeResize="0"/>
      </xdr:nvPicPr>
      <xdr:blipFill>
        <a:blip cstate="print" r:embed="rId94"/>
        <a:stretch>
          <a:fillRect/>
        </a:stretch>
      </xdr:blipFill>
      <xdr:spPr>
        <a:prstGeom prst="rect">
          <a:avLst/>
        </a:prstGeom>
        <a:noFill/>
      </xdr:spPr>
    </xdr:pic>
    <xdr:clientData fLocksWithSheet="0"/>
  </xdr:oneCellAnchor>
  <xdr:oneCellAnchor>
    <xdr:from>
      <xdr:col>0</xdr:col>
      <xdr:colOff>0</xdr:colOff>
      <xdr:row>688</xdr:row>
      <xdr:rowOff>0</xdr:rowOff>
    </xdr:from>
    <xdr:ext cx="257175" cy="257175"/>
    <xdr:pic>
      <xdr:nvPicPr>
        <xdr:cNvPr id="0" name="image384.png"/>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0</xdr:colOff>
      <xdr:row>695</xdr:row>
      <xdr:rowOff>0</xdr:rowOff>
    </xdr:from>
    <xdr:ext cx="257175" cy="257175"/>
    <xdr:pic>
      <xdr:nvPicPr>
        <xdr:cNvPr id="0" name="image381.png"/>
        <xdr:cNvPicPr preferRelativeResize="0"/>
      </xdr:nvPicPr>
      <xdr:blipFill>
        <a:blip cstate="print" r:embed="rId96"/>
        <a:stretch>
          <a:fillRect/>
        </a:stretch>
      </xdr:blipFill>
      <xdr:spPr>
        <a:prstGeom prst="rect">
          <a:avLst/>
        </a:prstGeom>
        <a:noFill/>
      </xdr:spPr>
    </xdr:pic>
    <xdr:clientData fLocksWithSheet="0"/>
  </xdr:oneCellAnchor>
  <xdr:oneCellAnchor>
    <xdr:from>
      <xdr:col>0</xdr:col>
      <xdr:colOff>0</xdr:colOff>
      <xdr:row>702</xdr:row>
      <xdr:rowOff>0</xdr:rowOff>
    </xdr:from>
    <xdr:ext cx="257175" cy="257175"/>
    <xdr:pic>
      <xdr:nvPicPr>
        <xdr:cNvPr id="0" name="image385.png"/>
        <xdr:cNvPicPr preferRelativeResize="0"/>
      </xdr:nvPicPr>
      <xdr:blipFill>
        <a:blip cstate="print" r:embed="rId97"/>
        <a:stretch>
          <a:fillRect/>
        </a:stretch>
      </xdr:blipFill>
      <xdr:spPr>
        <a:prstGeom prst="rect">
          <a:avLst/>
        </a:prstGeom>
        <a:noFill/>
      </xdr:spPr>
    </xdr:pic>
    <xdr:clientData fLocksWithSheet="0"/>
  </xdr:oneCellAnchor>
  <xdr:oneCellAnchor>
    <xdr:from>
      <xdr:col>0</xdr:col>
      <xdr:colOff>0</xdr:colOff>
      <xdr:row>709</xdr:row>
      <xdr:rowOff>0</xdr:rowOff>
    </xdr:from>
    <xdr:ext cx="257175" cy="257175"/>
    <xdr:pic>
      <xdr:nvPicPr>
        <xdr:cNvPr id="0" name="image382.png"/>
        <xdr:cNvPicPr preferRelativeResize="0"/>
      </xdr:nvPicPr>
      <xdr:blipFill>
        <a:blip cstate="print" r:embed="rId98"/>
        <a:stretch>
          <a:fillRect/>
        </a:stretch>
      </xdr:blipFill>
      <xdr:spPr>
        <a:prstGeom prst="rect">
          <a:avLst/>
        </a:prstGeom>
        <a:noFill/>
      </xdr:spPr>
    </xdr:pic>
    <xdr:clientData fLocksWithSheet="0"/>
  </xdr:oneCellAnchor>
  <xdr:oneCellAnchor>
    <xdr:from>
      <xdr:col>0</xdr:col>
      <xdr:colOff>0</xdr:colOff>
      <xdr:row>716</xdr:row>
      <xdr:rowOff>0</xdr:rowOff>
    </xdr:from>
    <xdr:ext cx="257175" cy="257175"/>
    <xdr:pic>
      <xdr:nvPicPr>
        <xdr:cNvPr id="0" name="image386.png"/>
        <xdr:cNvPicPr preferRelativeResize="0"/>
      </xdr:nvPicPr>
      <xdr:blipFill>
        <a:blip cstate="print" r:embed="rId99"/>
        <a:stretch>
          <a:fillRect/>
        </a:stretch>
      </xdr:blipFill>
      <xdr:spPr>
        <a:prstGeom prst="rect">
          <a:avLst/>
        </a:prstGeom>
        <a:noFill/>
      </xdr:spPr>
    </xdr:pic>
    <xdr:clientData fLocksWithSheet="0"/>
  </xdr:oneCellAnchor>
  <xdr:oneCellAnchor>
    <xdr:from>
      <xdr:col>0</xdr:col>
      <xdr:colOff>0</xdr:colOff>
      <xdr:row>723</xdr:row>
      <xdr:rowOff>0</xdr:rowOff>
    </xdr:from>
    <xdr:ext cx="257175" cy="257175"/>
    <xdr:pic>
      <xdr:nvPicPr>
        <xdr:cNvPr id="0" name="image390.png"/>
        <xdr:cNvPicPr preferRelativeResize="0"/>
      </xdr:nvPicPr>
      <xdr:blipFill>
        <a:blip cstate="print" r:embed="rId100"/>
        <a:stretch>
          <a:fillRect/>
        </a:stretch>
      </xdr:blipFill>
      <xdr:spPr>
        <a:prstGeom prst="rect">
          <a:avLst/>
        </a:prstGeom>
        <a:noFill/>
      </xdr:spPr>
    </xdr:pic>
    <xdr:clientData fLocksWithSheet="0"/>
  </xdr:oneCellAnchor>
  <xdr:oneCellAnchor>
    <xdr:from>
      <xdr:col>0</xdr:col>
      <xdr:colOff>0</xdr:colOff>
      <xdr:row>730</xdr:row>
      <xdr:rowOff>0</xdr:rowOff>
    </xdr:from>
    <xdr:ext cx="257175" cy="257175"/>
    <xdr:pic>
      <xdr:nvPicPr>
        <xdr:cNvPr id="0" name="image412.png"/>
        <xdr:cNvPicPr preferRelativeResize="0"/>
      </xdr:nvPicPr>
      <xdr:blipFill>
        <a:blip cstate="print" r:embed="rId101"/>
        <a:stretch>
          <a:fillRect/>
        </a:stretch>
      </xdr:blipFill>
      <xdr:spPr>
        <a:prstGeom prst="rect">
          <a:avLst/>
        </a:prstGeom>
        <a:noFill/>
      </xdr:spPr>
    </xdr:pic>
    <xdr:clientData fLocksWithSheet="0"/>
  </xdr:oneCellAnchor>
  <xdr:oneCellAnchor>
    <xdr:from>
      <xdr:col>0</xdr:col>
      <xdr:colOff>0</xdr:colOff>
      <xdr:row>737</xdr:row>
      <xdr:rowOff>0</xdr:rowOff>
    </xdr:from>
    <xdr:ext cx="257175" cy="257175"/>
    <xdr:pic>
      <xdr:nvPicPr>
        <xdr:cNvPr id="0" name="image392.png"/>
        <xdr:cNvPicPr preferRelativeResize="0"/>
      </xdr:nvPicPr>
      <xdr:blipFill>
        <a:blip cstate="print" r:embed="rId102"/>
        <a:stretch>
          <a:fillRect/>
        </a:stretch>
      </xdr:blipFill>
      <xdr:spPr>
        <a:prstGeom prst="rect">
          <a:avLst/>
        </a:prstGeom>
        <a:noFill/>
      </xdr:spPr>
    </xdr:pic>
    <xdr:clientData fLocksWithSheet="0"/>
  </xdr:oneCellAnchor>
  <xdr:oneCellAnchor>
    <xdr:from>
      <xdr:col>0</xdr:col>
      <xdr:colOff>0</xdr:colOff>
      <xdr:row>744</xdr:row>
      <xdr:rowOff>0</xdr:rowOff>
    </xdr:from>
    <xdr:ext cx="257175" cy="257175"/>
    <xdr:pic>
      <xdr:nvPicPr>
        <xdr:cNvPr id="0" name="image397.png"/>
        <xdr:cNvPicPr preferRelativeResize="0"/>
      </xdr:nvPicPr>
      <xdr:blipFill>
        <a:blip cstate="print" r:embed="rId103"/>
        <a:stretch>
          <a:fillRect/>
        </a:stretch>
      </xdr:blipFill>
      <xdr:spPr>
        <a:prstGeom prst="rect">
          <a:avLst/>
        </a:prstGeom>
        <a:noFill/>
      </xdr:spPr>
    </xdr:pic>
    <xdr:clientData fLocksWithSheet="0"/>
  </xdr:oneCellAnchor>
  <xdr:oneCellAnchor>
    <xdr:from>
      <xdr:col>0</xdr:col>
      <xdr:colOff>0</xdr:colOff>
      <xdr:row>751</xdr:row>
      <xdr:rowOff>0</xdr:rowOff>
    </xdr:from>
    <xdr:ext cx="257175" cy="257175"/>
    <xdr:pic>
      <xdr:nvPicPr>
        <xdr:cNvPr id="0" name="image396.png"/>
        <xdr:cNvPicPr preferRelativeResize="0"/>
      </xdr:nvPicPr>
      <xdr:blipFill>
        <a:blip cstate="print" r:embed="rId104"/>
        <a:stretch>
          <a:fillRect/>
        </a:stretch>
      </xdr:blipFill>
      <xdr:spPr>
        <a:prstGeom prst="rect">
          <a:avLst/>
        </a:prstGeom>
        <a:noFill/>
      </xdr:spPr>
    </xdr:pic>
    <xdr:clientData fLocksWithSheet="0"/>
  </xdr:oneCellAnchor>
  <xdr:oneCellAnchor>
    <xdr:from>
      <xdr:col>0</xdr:col>
      <xdr:colOff>0</xdr:colOff>
      <xdr:row>758</xdr:row>
      <xdr:rowOff>0</xdr:rowOff>
    </xdr:from>
    <xdr:ext cx="257175" cy="257175"/>
    <xdr:pic>
      <xdr:nvPicPr>
        <xdr:cNvPr id="0" name="image398.png"/>
        <xdr:cNvPicPr preferRelativeResize="0"/>
      </xdr:nvPicPr>
      <xdr:blipFill>
        <a:blip cstate="print" r:embed="rId105"/>
        <a:stretch>
          <a:fillRect/>
        </a:stretch>
      </xdr:blipFill>
      <xdr:spPr>
        <a:prstGeom prst="rect">
          <a:avLst/>
        </a:prstGeom>
        <a:noFill/>
      </xdr:spPr>
    </xdr:pic>
    <xdr:clientData fLocksWithSheet="0"/>
  </xdr:oneCellAnchor>
  <xdr:oneCellAnchor>
    <xdr:from>
      <xdr:col>0</xdr:col>
      <xdr:colOff>0</xdr:colOff>
      <xdr:row>765</xdr:row>
      <xdr:rowOff>0</xdr:rowOff>
    </xdr:from>
    <xdr:ext cx="257175" cy="257175"/>
    <xdr:pic>
      <xdr:nvPicPr>
        <xdr:cNvPr id="0" name="image399.png"/>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772</xdr:row>
      <xdr:rowOff>0</xdr:rowOff>
    </xdr:from>
    <xdr:ext cx="257175" cy="257175"/>
    <xdr:pic>
      <xdr:nvPicPr>
        <xdr:cNvPr id="0" name="image394.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779</xdr:row>
      <xdr:rowOff>0</xdr:rowOff>
    </xdr:from>
    <xdr:ext cx="257175" cy="257175"/>
    <xdr:pic>
      <xdr:nvPicPr>
        <xdr:cNvPr id="0" name="image401.png"/>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0</xdr:colOff>
      <xdr:row>786</xdr:row>
      <xdr:rowOff>0</xdr:rowOff>
    </xdr:from>
    <xdr:ext cx="257175" cy="257175"/>
    <xdr:pic>
      <xdr:nvPicPr>
        <xdr:cNvPr id="0" name="image400.png"/>
        <xdr:cNvPicPr preferRelativeResize="0"/>
      </xdr:nvPicPr>
      <xdr:blipFill>
        <a:blip cstate="print" r:embed="rId10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723900" cy="723900"/>
    <xdr:pic>
      <xdr:nvPicPr>
        <xdr:cNvPr id="0" name="image40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1</xdr:row>
      <xdr:rowOff>0</xdr:rowOff>
    </xdr:from>
    <xdr:ext cx="723900" cy="723900"/>
    <xdr:pic>
      <xdr:nvPicPr>
        <xdr:cNvPr id="0" name="image40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xdr:row>
      <xdr:rowOff>0</xdr:rowOff>
    </xdr:from>
    <xdr:ext cx="723900" cy="723900"/>
    <xdr:pic>
      <xdr:nvPicPr>
        <xdr:cNvPr id="0" name="image404.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xdr:row>
      <xdr:rowOff>0</xdr:rowOff>
    </xdr:from>
    <xdr:ext cx="723900" cy="723900"/>
    <xdr:pic>
      <xdr:nvPicPr>
        <xdr:cNvPr id="0" name="image40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xdr:row>
      <xdr:rowOff>0</xdr:rowOff>
    </xdr:from>
    <xdr:ext cx="733425" cy="723900"/>
    <xdr:pic>
      <xdr:nvPicPr>
        <xdr:cNvPr id="0" name="image407.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xdr:row>
      <xdr:rowOff>0</xdr:rowOff>
    </xdr:from>
    <xdr:ext cx="723900" cy="723900"/>
    <xdr:pic>
      <xdr:nvPicPr>
        <xdr:cNvPr id="0" name="image402.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2</xdr:row>
      <xdr:rowOff>0</xdr:rowOff>
    </xdr:from>
    <xdr:ext cx="723900" cy="723900"/>
    <xdr:pic>
      <xdr:nvPicPr>
        <xdr:cNvPr id="0" name="image416.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xdr:row>
      <xdr:rowOff>0</xdr:rowOff>
    </xdr:from>
    <xdr:ext cx="723900" cy="723900"/>
    <xdr:pic>
      <xdr:nvPicPr>
        <xdr:cNvPr id="0" name="image411.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xdr:row>
      <xdr:rowOff>0</xdr:rowOff>
    </xdr:from>
    <xdr:ext cx="723900" cy="723900"/>
    <xdr:pic>
      <xdr:nvPicPr>
        <xdr:cNvPr id="0" name="image414.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3</xdr:row>
      <xdr:rowOff>0</xdr:rowOff>
    </xdr:from>
    <xdr:ext cx="723900" cy="723900"/>
    <xdr:pic>
      <xdr:nvPicPr>
        <xdr:cNvPr id="0" name="image41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3</xdr:row>
      <xdr:rowOff>0</xdr:rowOff>
    </xdr:from>
    <xdr:ext cx="723900" cy="723900"/>
    <xdr:pic>
      <xdr:nvPicPr>
        <xdr:cNvPr id="0" name="image420.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3</xdr:row>
      <xdr:rowOff>0</xdr:rowOff>
    </xdr:from>
    <xdr:ext cx="723900" cy="723900"/>
    <xdr:pic>
      <xdr:nvPicPr>
        <xdr:cNvPr id="0" name="image409.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4</xdr:row>
      <xdr:rowOff>0</xdr:rowOff>
    </xdr:from>
    <xdr:ext cx="723900" cy="723900"/>
    <xdr:pic>
      <xdr:nvPicPr>
        <xdr:cNvPr id="0" name="image418.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4</xdr:row>
      <xdr:rowOff>0</xdr:rowOff>
    </xdr:from>
    <xdr:ext cx="723900" cy="723900"/>
    <xdr:pic>
      <xdr:nvPicPr>
        <xdr:cNvPr id="0" name="image41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4</xdr:row>
      <xdr:rowOff>0</xdr:rowOff>
    </xdr:from>
    <xdr:ext cx="723900" cy="723900"/>
    <xdr:pic>
      <xdr:nvPicPr>
        <xdr:cNvPr id="0" name="image410.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4</xdr:row>
      <xdr:rowOff>0</xdr:rowOff>
    </xdr:from>
    <xdr:ext cx="723900" cy="723900"/>
    <xdr:pic>
      <xdr:nvPicPr>
        <xdr:cNvPr id="0" name="image456.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5</xdr:row>
      <xdr:rowOff>0</xdr:rowOff>
    </xdr:from>
    <xdr:ext cx="733425" cy="723900"/>
    <xdr:pic>
      <xdr:nvPicPr>
        <xdr:cNvPr id="0" name="image425.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5</xdr:row>
      <xdr:rowOff>0</xdr:rowOff>
    </xdr:from>
    <xdr:ext cx="723900" cy="723900"/>
    <xdr:pic>
      <xdr:nvPicPr>
        <xdr:cNvPr id="0" name="image417.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5</xdr:row>
      <xdr:rowOff>0</xdr:rowOff>
    </xdr:from>
    <xdr:ext cx="723900" cy="723900"/>
    <xdr:pic>
      <xdr:nvPicPr>
        <xdr:cNvPr id="0" name="image419.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5</xdr:row>
      <xdr:rowOff>0</xdr:rowOff>
    </xdr:from>
    <xdr:ext cx="723900" cy="723900"/>
    <xdr:pic>
      <xdr:nvPicPr>
        <xdr:cNvPr id="0" name="image421.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6</xdr:row>
      <xdr:rowOff>0</xdr:rowOff>
    </xdr:from>
    <xdr:ext cx="723900" cy="723900"/>
    <xdr:pic>
      <xdr:nvPicPr>
        <xdr:cNvPr id="0" name="image422.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6</xdr:row>
      <xdr:rowOff>0</xdr:rowOff>
    </xdr:from>
    <xdr:ext cx="723900" cy="723900"/>
    <xdr:pic>
      <xdr:nvPicPr>
        <xdr:cNvPr id="0" name="image43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6</xdr:row>
      <xdr:rowOff>0</xdr:rowOff>
    </xdr:from>
    <xdr:ext cx="723900" cy="723900"/>
    <xdr:pic>
      <xdr:nvPicPr>
        <xdr:cNvPr id="0" name="image423.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6</xdr:row>
      <xdr:rowOff>0</xdr:rowOff>
    </xdr:from>
    <xdr:ext cx="723900" cy="723900"/>
    <xdr:pic>
      <xdr:nvPicPr>
        <xdr:cNvPr id="0" name="image430.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7</xdr:row>
      <xdr:rowOff>0</xdr:rowOff>
    </xdr:from>
    <xdr:ext cx="723900" cy="723900"/>
    <xdr:pic>
      <xdr:nvPicPr>
        <xdr:cNvPr id="0" name="image429.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7</xdr:row>
      <xdr:rowOff>0</xdr:rowOff>
    </xdr:from>
    <xdr:ext cx="723900" cy="723900"/>
    <xdr:pic>
      <xdr:nvPicPr>
        <xdr:cNvPr id="0" name="image426.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7</xdr:row>
      <xdr:rowOff>0</xdr:rowOff>
    </xdr:from>
    <xdr:ext cx="723900" cy="723900"/>
    <xdr:pic>
      <xdr:nvPicPr>
        <xdr:cNvPr id="0" name="image435.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7</xdr:row>
      <xdr:rowOff>0</xdr:rowOff>
    </xdr:from>
    <xdr:ext cx="723900" cy="723900"/>
    <xdr:pic>
      <xdr:nvPicPr>
        <xdr:cNvPr id="0" name="image424.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8</xdr:row>
      <xdr:rowOff>0</xdr:rowOff>
    </xdr:from>
    <xdr:ext cx="733425" cy="723900"/>
    <xdr:pic>
      <xdr:nvPicPr>
        <xdr:cNvPr id="0" name="image428.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8</xdr:row>
      <xdr:rowOff>0</xdr:rowOff>
    </xdr:from>
    <xdr:ext cx="723900" cy="723900"/>
    <xdr:pic>
      <xdr:nvPicPr>
        <xdr:cNvPr id="0" name="image427.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8</xdr:row>
      <xdr:rowOff>0</xdr:rowOff>
    </xdr:from>
    <xdr:ext cx="723900" cy="723900"/>
    <xdr:pic>
      <xdr:nvPicPr>
        <xdr:cNvPr id="0" name="image432.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8</xdr:row>
      <xdr:rowOff>0</xdr:rowOff>
    </xdr:from>
    <xdr:ext cx="723900" cy="723900"/>
    <xdr:pic>
      <xdr:nvPicPr>
        <xdr:cNvPr id="0" name="image434.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9</xdr:row>
      <xdr:rowOff>0</xdr:rowOff>
    </xdr:from>
    <xdr:ext cx="733425" cy="723900"/>
    <xdr:pic>
      <xdr:nvPicPr>
        <xdr:cNvPr id="0" name="image440.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9</xdr:row>
      <xdr:rowOff>0</xdr:rowOff>
    </xdr:from>
    <xdr:ext cx="723900" cy="723900"/>
    <xdr:pic>
      <xdr:nvPicPr>
        <xdr:cNvPr id="0" name="image439.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10</xdr:row>
      <xdr:rowOff>0</xdr:rowOff>
    </xdr:from>
    <xdr:ext cx="723900" cy="723900"/>
    <xdr:pic>
      <xdr:nvPicPr>
        <xdr:cNvPr id="0" name="image433.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10</xdr:row>
      <xdr:rowOff>0</xdr:rowOff>
    </xdr:from>
    <xdr:ext cx="723900" cy="723900"/>
    <xdr:pic>
      <xdr:nvPicPr>
        <xdr:cNvPr id="0" name="image447.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10</xdr:row>
      <xdr:rowOff>0</xdr:rowOff>
    </xdr:from>
    <xdr:ext cx="723900" cy="723900"/>
    <xdr:pic>
      <xdr:nvPicPr>
        <xdr:cNvPr id="0" name="image445.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10</xdr:row>
      <xdr:rowOff>0</xdr:rowOff>
    </xdr:from>
    <xdr:ext cx="723900" cy="723900"/>
    <xdr:pic>
      <xdr:nvPicPr>
        <xdr:cNvPr id="0" name="image446.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11</xdr:row>
      <xdr:rowOff>0</xdr:rowOff>
    </xdr:from>
    <xdr:ext cx="733425" cy="723900"/>
    <xdr:pic>
      <xdr:nvPicPr>
        <xdr:cNvPr id="0" name="image438.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11</xdr:row>
      <xdr:rowOff>0</xdr:rowOff>
    </xdr:from>
    <xdr:ext cx="723900" cy="723900"/>
    <xdr:pic>
      <xdr:nvPicPr>
        <xdr:cNvPr id="0" name="image436.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11</xdr:row>
      <xdr:rowOff>0</xdr:rowOff>
    </xdr:from>
    <xdr:ext cx="723900" cy="723900"/>
    <xdr:pic>
      <xdr:nvPicPr>
        <xdr:cNvPr id="0" name="image441.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12</xdr:row>
      <xdr:rowOff>0</xdr:rowOff>
    </xdr:from>
    <xdr:ext cx="723900" cy="723900"/>
    <xdr:pic>
      <xdr:nvPicPr>
        <xdr:cNvPr id="0" name="image437.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12</xdr:row>
      <xdr:rowOff>0</xdr:rowOff>
    </xdr:from>
    <xdr:ext cx="723900" cy="723900"/>
    <xdr:pic>
      <xdr:nvPicPr>
        <xdr:cNvPr id="0" name="image442.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12</xdr:row>
      <xdr:rowOff>0</xdr:rowOff>
    </xdr:from>
    <xdr:ext cx="723900" cy="723900"/>
    <xdr:pic>
      <xdr:nvPicPr>
        <xdr:cNvPr id="0" name="image443.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12</xdr:row>
      <xdr:rowOff>0</xdr:rowOff>
    </xdr:from>
    <xdr:ext cx="723900" cy="723900"/>
    <xdr:pic>
      <xdr:nvPicPr>
        <xdr:cNvPr id="0" name="image444.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13</xdr:row>
      <xdr:rowOff>0</xdr:rowOff>
    </xdr:from>
    <xdr:ext cx="733425" cy="723900"/>
    <xdr:pic>
      <xdr:nvPicPr>
        <xdr:cNvPr id="0" name="image448.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13</xdr:row>
      <xdr:rowOff>0</xdr:rowOff>
    </xdr:from>
    <xdr:ext cx="723900" cy="723900"/>
    <xdr:pic>
      <xdr:nvPicPr>
        <xdr:cNvPr id="0" name="image452.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13</xdr:row>
      <xdr:rowOff>0</xdr:rowOff>
    </xdr:from>
    <xdr:ext cx="723900" cy="723900"/>
    <xdr:pic>
      <xdr:nvPicPr>
        <xdr:cNvPr id="0" name="image462.png"/>
        <xdr:cNvPicPr preferRelativeResize="0"/>
      </xdr:nvPicPr>
      <xdr:blipFill>
        <a:blip cstate="print" r:embed="rId46"/>
        <a:stretch>
          <a:fillRect/>
        </a:stretch>
      </xdr:blipFill>
      <xdr:spPr>
        <a:prstGeom prst="rect">
          <a:avLst/>
        </a:prstGeom>
        <a:noFill/>
      </xdr:spPr>
    </xdr:pic>
    <xdr:clientData fLocksWithSheet="0"/>
  </xdr:oneCellAnchor>
  <xdr:oneCellAnchor>
    <xdr:from>
      <xdr:col>6</xdr:col>
      <xdr:colOff>0</xdr:colOff>
      <xdr:row>13</xdr:row>
      <xdr:rowOff>0</xdr:rowOff>
    </xdr:from>
    <xdr:ext cx="723900" cy="723900"/>
    <xdr:pic>
      <xdr:nvPicPr>
        <xdr:cNvPr id="0" name="image455.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14</xdr:row>
      <xdr:rowOff>0</xdr:rowOff>
    </xdr:from>
    <xdr:ext cx="733425" cy="723900"/>
    <xdr:pic>
      <xdr:nvPicPr>
        <xdr:cNvPr id="0" name="image450.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14</xdr:row>
      <xdr:rowOff>0</xdr:rowOff>
    </xdr:from>
    <xdr:ext cx="723900" cy="723900"/>
    <xdr:pic>
      <xdr:nvPicPr>
        <xdr:cNvPr id="0" name="image449.png"/>
        <xdr:cNvPicPr preferRelativeResize="0"/>
      </xdr:nvPicPr>
      <xdr:blipFill>
        <a:blip cstate="print" r:embed="rId49"/>
        <a:stretch>
          <a:fillRect/>
        </a:stretch>
      </xdr:blipFill>
      <xdr:spPr>
        <a:prstGeom prst="rect">
          <a:avLst/>
        </a:prstGeom>
        <a:noFill/>
      </xdr:spPr>
    </xdr:pic>
    <xdr:clientData fLocksWithSheet="0"/>
  </xdr:oneCellAnchor>
  <xdr:oneCellAnchor>
    <xdr:from>
      <xdr:col>5</xdr:col>
      <xdr:colOff>0</xdr:colOff>
      <xdr:row>14</xdr:row>
      <xdr:rowOff>0</xdr:rowOff>
    </xdr:from>
    <xdr:ext cx="723900" cy="723900"/>
    <xdr:pic>
      <xdr:nvPicPr>
        <xdr:cNvPr id="0" name="image454.png"/>
        <xdr:cNvPicPr preferRelativeResize="0"/>
      </xdr:nvPicPr>
      <xdr:blipFill>
        <a:blip cstate="print" r:embed="rId50"/>
        <a:stretch>
          <a:fillRect/>
        </a:stretch>
      </xdr:blipFill>
      <xdr:spPr>
        <a:prstGeom prst="rect">
          <a:avLst/>
        </a:prstGeom>
        <a:noFill/>
      </xdr:spPr>
    </xdr:pic>
    <xdr:clientData fLocksWithSheet="0"/>
  </xdr:oneCellAnchor>
  <xdr:oneCellAnchor>
    <xdr:from>
      <xdr:col>6</xdr:col>
      <xdr:colOff>0</xdr:colOff>
      <xdr:row>14</xdr:row>
      <xdr:rowOff>0</xdr:rowOff>
    </xdr:from>
    <xdr:ext cx="723900" cy="723900"/>
    <xdr:pic>
      <xdr:nvPicPr>
        <xdr:cNvPr id="0" name="image451.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15</xdr:row>
      <xdr:rowOff>0</xdr:rowOff>
    </xdr:from>
    <xdr:ext cx="723900" cy="723900"/>
    <xdr:pic>
      <xdr:nvPicPr>
        <xdr:cNvPr id="0" name="image469.png"/>
        <xdr:cNvPicPr preferRelativeResize="0"/>
      </xdr:nvPicPr>
      <xdr:blipFill>
        <a:blip cstate="print" r:embed="rId52"/>
        <a:stretch>
          <a:fillRect/>
        </a:stretch>
      </xdr:blipFill>
      <xdr:spPr>
        <a:prstGeom prst="rect">
          <a:avLst/>
        </a:prstGeom>
        <a:noFill/>
      </xdr:spPr>
    </xdr:pic>
    <xdr:clientData fLocksWithSheet="0"/>
  </xdr:oneCellAnchor>
  <xdr:oneCellAnchor>
    <xdr:from>
      <xdr:col>6</xdr:col>
      <xdr:colOff>0</xdr:colOff>
      <xdr:row>15</xdr:row>
      <xdr:rowOff>0</xdr:rowOff>
    </xdr:from>
    <xdr:ext cx="723900" cy="723900"/>
    <xdr:pic>
      <xdr:nvPicPr>
        <xdr:cNvPr id="0" name="image453.pn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16</xdr:row>
      <xdr:rowOff>0</xdr:rowOff>
    </xdr:from>
    <xdr:ext cx="733425" cy="723900"/>
    <xdr:pic>
      <xdr:nvPicPr>
        <xdr:cNvPr id="0" name="image458.png"/>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16</xdr:row>
      <xdr:rowOff>0</xdr:rowOff>
    </xdr:from>
    <xdr:ext cx="723900" cy="723900"/>
    <xdr:pic>
      <xdr:nvPicPr>
        <xdr:cNvPr id="0" name="image457.png"/>
        <xdr:cNvPicPr preferRelativeResize="0"/>
      </xdr:nvPicPr>
      <xdr:blipFill>
        <a:blip cstate="print" r:embed="rId55"/>
        <a:stretch>
          <a:fillRect/>
        </a:stretch>
      </xdr:blipFill>
      <xdr:spPr>
        <a:prstGeom prst="rect">
          <a:avLst/>
        </a:prstGeom>
        <a:noFill/>
      </xdr:spPr>
    </xdr:pic>
    <xdr:clientData fLocksWithSheet="0"/>
  </xdr:oneCellAnchor>
  <xdr:oneCellAnchor>
    <xdr:from>
      <xdr:col>5</xdr:col>
      <xdr:colOff>0</xdr:colOff>
      <xdr:row>16</xdr:row>
      <xdr:rowOff>0</xdr:rowOff>
    </xdr:from>
    <xdr:ext cx="723900" cy="723900"/>
    <xdr:pic>
      <xdr:nvPicPr>
        <xdr:cNvPr id="0" name="image459.png"/>
        <xdr:cNvPicPr preferRelativeResize="0"/>
      </xdr:nvPicPr>
      <xdr:blipFill>
        <a:blip cstate="print" r:embed="rId56"/>
        <a:stretch>
          <a:fillRect/>
        </a:stretch>
      </xdr:blipFill>
      <xdr:spPr>
        <a:prstGeom prst="rect">
          <a:avLst/>
        </a:prstGeom>
        <a:noFill/>
      </xdr:spPr>
    </xdr:pic>
    <xdr:clientData fLocksWithSheet="0"/>
  </xdr:oneCellAnchor>
  <xdr:oneCellAnchor>
    <xdr:from>
      <xdr:col>6</xdr:col>
      <xdr:colOff>0</xdr:colOff>
      <xdr:row>16</xdr:row>
      <xdr:rowOff>0</xdr:rowOff>
    </xdr:from>
    <xdr:ext cx="723900" cy="723900"/>
    <xdr:pic>
      <xdr:nvPicPr>
        <xdr:cNvPr id="0" name="image460.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17</xdr:row>
      <xdr:rowOff>0</xdr:rowOff>
    </xdr:from>
    <xdr:ext cx="723900" cy="723900"/>
    <xdr:pic>
      <xdr:nvPicPr>
        <xdr:cNvPr id="0" name="image465.png"/>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466.png"/>
        <xdr:cNvPicPr preferRelativeResize="0"/>
      </xdr:nvPicPr>
      <xdr:blipFill>
        <a:blip cstate="print" r:embed="rId59"/>
        <a:stretch>
          <a:fillRect/>
        </a:stretch>
      </xdr:blipFill>
      <xdr:spPr>
        <a:prstGeom prst="rect">
          <a:avLst/>
        </a:prstGeom>
        <a:noFill/>
      </xdr:spPr>
    </xdr:pic>
    <xdr:clientData fLocksWithSheet="0"/>
  </xdr:oneCellAnchor>
  <xdr:oneCellAnchor>
    <xdr:from>
      <xdr:col>5</xdr:col>
      <xdr:colOff>0</xdr:colOff>
      <xdr:row>17</xdr:row>
      <xdr:rowOff>0</xdr:rowOff>
    </xdr:from>
    <xdr:ext cx="723900" cy="723900"/>
    <xdr:pic>
      <xdr:nvPicPr>
        <xdr:cNvPr id="0" name="image524.png"/>
        <xdr:cNvPicPr preferRelativeResize="0"/>
      </xdr:nvPicPr>
      <xdr:blipFill>
        <a:blip cstate="print" r:embed="rId60"/>
        <a:stretch>
          <a:fillRect/>
        </a:stretch>
      </xdr:blipFill>
      <xdr:spPr>
        <a:prstGeom prst="rect">
          <a:avLst/>
        </a:prstGeom>
        <a:noFill/>
      </xdr:spPr>
    </xdr:pic>
    <xdr:clientData fLocksWithSheet="0"/>
  </xdr:oneCellAnchor>
  <xdr:oneCellAnchor>
    <xdr:from>
      <xdr:col>6</xdr:col>
      <xdr:colOff>0</xdr:colOff>
      <xdr:row>17</xdr:row>
      <xdr:rowOff>0</xdr:rowOff>
    </xdr:from>
    <xdr:ext cx="723900" cy="723900"/>
    <xdr:pic>
      <xdr:nvPicPr>
        <xdr:cNvPr id="0" name="image464.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18</xdr:row>
      <xdr:rowOff>0</xdr:rowOff>
    </xdr:from>
    <xdr:ext cx="733425" cy="723900"/>
    <xdr:pic>
      <xdr:nvPicPr>
        <xdr:cNvPr id="0" name="image461.png"/>
        <xdr:cNvPicPr preferRelativeResize="0"/>
      </xdr:nvPicPr>
      <xdr:blipFill>
        <a:blip cstate="print" r:embed="rId62"/>
        <a:stretch>
          <a:fillRect/>
        </a:stretch>
      </xdr:blipFill>
      <xdr:spPr>
        <a:prstGeom prst="rect">
          <a:avLst/>
        </a:prstGeom>
        <a:noFill/>
      </xdr:spPr>
    </xdr:pic>
    <xdr:clientData fLocksWithSheet="0"/>
  </xdr:oneCellAnchor>
  <xdr:oneCellAnchor>
    <xdr:from>
      <xdr:col>4</xdr:col>
      <xdr:colOff>0</xdr:colOff>
      <xdr:row>18</xdr:row>
      <xdr:rowOff>0</xdr:rowOff>
    </xdr:from>
    <xdr:ext cx="723900" cy="723900"/>
    <xdr:pic>
      <xdr:nvPicPr>
        <xdr:cNvPr id="0" name="image470.png"/>
        <xdr:cNvPicPr preferRelativeResize="0"/>
      </xdr:nvPicPr>
      <xdr:blipFill>
        <a:blip cstate="print" r:embed="rId63"/>
        <a:stretch>
          <a:fillRect/>
        </a:stretch>
      </xdr:blipFill>
      <xdr:spPr>
        <a:prstGeom prst="rect">
          <a:avLst/>
        </a:prstGeom>
        <a:noFill/>
      </xdr:spPr>
    </xdr:pic>
    <xdr:clientData fLocksWithSheet="0"/>
  </xdr:oneCellAnchor>
  <xdr:oneCellAnchor>
    <xdr:from>
      <xdr:col>5</xdr:col>
      <xdr:colOff>0</xdr:colOff>
      <xdr:row>18</xdr:row>
      <xdr:rowOff>0</xdr:rowOff>
    </xdr:from>
    <xdr:ext cx="723900" cy="723900"/>
    <xdr:pic>
      <xdr:nvPicPr>
        <xdr:cNvPr id="0" name="image467.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18</xdr:row>
      <xdr:rowOff>0</xdr:rowOff>
    </xdr:from>
    <xdr:ext cx="723900" cy="723900"/>
    <xdr:pic>
      <xdr:nvPicPr>
        <xdr:cNvPr id="0" name="image463.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19</xdr:row>
      <xdr:rowOff>0</xdr:rowOff>
    </xdr:from>
    <xdr:ext cx="723900" cy="723900"/>
    <xdr:pic>
      <xdr:nvPicPr>
        <xdr:cNvPr id="0" name="image468.pn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19</xdr:row>
      <xdr:rowOff>0</xdr:rowOff>
    </xdr:from>
    <xdr:ext cx="723900" cy="723900"/>
    <xdr:pic>
      <xdr:nvPicPr>
        <xdr:cNvPr id="0" name="image494.png"/>
        <xdr:cNvPicPr preferRelativeResize="0"/>
      </xdr:nvPicPr>
      <xdr:blipFill>
        <a:blip cstate="print" r:embed="rId65"/>
        <a:stretch>
          <a:fillRect/>
        </a:stretch>
      </xdr:blipFill>
      <xdr:spPr>
        <a:prstGeom prst="rect">
          <a:avLst/>
        </a:prstGeom>
        <a:noFill/>
      </xdr:spPr>
    </xdr:pic>
    <xdr:clientData fLocksWithSheet="0"/>
  </xdr:oneCellAnchor>
  <xdr:oneCellAnchor>
    <xdr:from>
      <xdr:col>5</xdr:col>
      <xdr:colOff>0</xdr:colOff>
      <xdr:row>19</xdr:row>
      <xdr:rowOff>0</xdr:rowOff>
    </xdr:from>
    <xdr:ext cx="723900" cy="723900"/>
    <xdr:pic>
      <xdr:nvPicPr>
        <xdr:cNvPr id="0" name="image477.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19</xdr:row>
      <xdr:rowOff>0</xdr:rowOff>
    </xdr:from>
    <xdr:ext cx="723900" cy="723900"/>
    <xdr:pic>
      <xdr:nvPicPr>
        <xdr:cNvPr id="0" name="image472.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20</xdr:row>
      <xdr:rowOff>0</xdr:rowOff>
    </xdr:from>
    <xdr:ext cx="733425" cy="723900"/>
    <xdr:pic>
      <xdr:nvPicPr>
        <xdr:cNvPr id="0" name="image471.png"/>
        <xdr:cNvPicPr preferRelativeResize="0"/>
      </xdr:nvPicPr>
      <xdr:blipFill>
        <a:blip cstate="print" r:embed="rId67"/>
        <a:stretch>
          <a:fillRect/>
        </a:stretch>
      </xdr:blipFill>
      <xdr:spPr>
        <a:prstGeom prst="rect">
          <a:avLst/>
        </a:prstGeom>
        <a:noFill/>
      </xdr:spPr>
    </xdr:pic>
    <xdr:clientData fLocksWithSheet="0"/>
  </xdr:oneCellAnchor>
  <xdr:oneCellAnchor>
    <xdr:from>
      <xdr:col>4</xdr:col>
      <xdr:colOff>0</xdr:colOff>
      <xdr:row>20</xdr:row>
      <xdr:rowOff>0</xdr:rowOff>
    </xdr:from>
    <xdr:ext cx="723900" cy="723900"/>
    <xdr:pic>
      <xdr:nvPicPr>
        <xdr:cNvPr id="0" name="image473.png"/>
        <xdr:cNvPicPr preferRelativeResize="0"/>
      </xdr:nvPicPr>
      <xdr:blipFill>
        <a:blip cstate="print" r:embed="rId68"/>
        <a:stretch>
          <a:fillRect/>
        </a:stretch>
      </xdr:blipFill>
      <xdr:spPr>
        <a:prstGeom prst="rect">
          <a:avLst/>
        </a:prstGeom>
        <a:noFill/>
      </xdr:spPr>
    </xdr:pic>
    <xdr:clientData fLocksWithSheet="0"/>
  </xdr:oneCellAnchor>
  <xdr:oneCellAnchor>
    <xdr:from>
      <xdr:col>5</xdr:col>
      <xdr:colOff>0</xdr:colOff>
      <xdr:row>20</xdr:row>
      <xdr:rowOff>0</xdr:rowOff>
    </xdr:from>
    <xdr:ext cx="723900" cy="723900"/>
    <xdr:pic>
      <xdr:nvPicPr>
        <xdr:cNvPr id="0" name="image476.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21</xdr:row>
      <xdr:rowOff>0</xdr:rowOff>
    </xdr:from>
    <xdr:ext cx="733425" cy="723900"/>
    <xdr:pic>
      <xdr:nvPicPr>
        <xdr:cNvPr id="0" name="image480.png"/>
        <xdr:cNvPicPr preferRelativeResize="0"/>
      </xdr:nvPicPr>
      <xdr:blipFill>
        <a:blip cstate="print" r:embed="rId70"/>
        <a:stretch>
          <a:fillRect/>
        </a:stretch>
      </xdr:blipFill>
      <xdr:spPr>
        <a:prstGeom prst="rect">
          <a:avLst/>
        </a:prstGeom>
        <a:noFill/>
      </xdr:spPr>
    </xdr:pic>
    <xdr:clientData fLocksWithSheet="0"/>
  </xdr:oneCellAnchor>
  <xdr:oneCellAnchor>
    <xdr:from>
      <xdr:col>4</xdr:col>
      <xdr:colOff>0</xdr:colOff>
      <xdr:row>21</xdr:row>
      <xdr:rowOff>0</xdr:rowOff>
    </xdr:from>
    <xdr:ext cx="723900" cy="723900"/>
    <xdr:pic>
      <xdr:nvPicPr>
        <xdr:cNvPr id="0" name="image475.png"/>
        <xdr:cNvPicPr preferRelativeResize="0"/>
      </xdr:nvPicPr>
      <xdr:blipFill>
        <a:blip cstate="print" r:embed="rId69"/>
        <a:stretch>
          <a:fillRect/>
        </a:stretch>
      </xdr:blipFill>
      <xdr:spPr>
        <a:prstGeom prst="rect">
          <a:avLst/>
        </a:prstGeom>
        <a:noFill/>
      </xdr:spPr>
    </xdr:pic>
    <xdr:clientData fLocksWithSheet="0"/>
  </xdr:oneCellAnchor>
  <xdr:oneCellAnchor>
    <xdr:from>
      <xdr:col>5</xdr:col>
      <xdr:colOff>0</xdr:colOff>
      <xdr:row>21</xdr:row>
      <xdr:rowOff>0</xdr:rowOff>
    </xdr:from>
    <xdr:ext cx="723900" cy="723900"/>
    <xdr:pic>
      <xdr:nvPicPr>
        <xdr:cNvPr id="0" name="image478.png"/>
        <xdr:cNvPicPr preferRelativeResize="0"/>
      </xdr:nvPicPr>
      <xdr:blipFill>
        <a:blip cstate="print" r:embed="rId57"/>
        <a:stretch>
          <a:fillRect/>
        </a:stretch>
      </xdr:blipFill>
      <xdr:spPr>
        <a:prstGeom prst="rect">
          <a:avLst/>
        </a:prstGeom>
        <a:noFill/>
      </xdr:spPr>
    </xdr:pic>
    <xdr:clientData fLocksWithSheet="0"/>
  </xdr:oneCellAnchor>
  <xdr:oneCellAnchor>
    <xdr:from>
      <xdr:col>6</xdr:col>
      <xdr:colOff>0</xdr:colOff>
      <xdr:row>21</xdr:row>
      <xdr:rowOff>0</xdr:rowOff>
    </xdr:from>
    <xdr:ext cx="723900" cy="723900"/>
    <xdr:pic>
      <xdr:nvPicPr>
        <xdr:cNvPr id="0" name="image479.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22</xdr:row>
      <xdr:rowOff>0</xdr:rowOff>
    </xdr:from>
    <xdr:ext cx="723900" cy="723900"/>
    <xdr:pic>
      <xdr:nvPicPr>
        <xdr:cNvPr id="0" name="image481.png"/>
        <xdr:cNvPicPr preferRelativeResize="0"/>
      </xdr:nvPicPr>
      <xdr:blipFill>
        <a:blip cstate="print" r:embed="rId72"/>
        <a:stretch>
          <a:fillRect/>
        </a:stretch>
      </xdr:blipFill>
      <xdr:spPr>
        <a:prstGeom prst="rect">
          <a:avLst/>
        </a:prstGeom>
        <a:noFill/>
      </xdr:spPr>
    </xdr:pic>
    <xdr:clientData fLocksWithSheet="0"/>
  </xdr:oneCellAnchor>
  <xdr:oneCellAnchor>
    <xdr:from>
      <xdr:col>4</xdr:col>
      <xdr:colOff>0</xdr:colOff>
      <xdr:row>22</xdr:row>
      <xdr:rowOff>0</xdr:rowOff>
    </xdr:from>
    <xdr:ext cx="723900" cy="723900"/>
    <xdr:pic>
      <xdr:nvPicPr>
        <xdr:cNvPr id="0" name="image485.png"/>
        <xdr:cNvPicPr preferRelativeResize="0"/>
      </xdr:nvPicPr>
      <xdr:blipFill>
        <a:blip cstate="print" r:embed="rId73"/>
        <a:stretch>
          <a:fillRect/>
        </a:stretch>
      </xdr:blipFill>
      <xdr:spPr>
        <a:prstGeom prst="rect">
          <a:avLst/>
        </a:prstGeom>
        <a:noFill/>
      </xdr:spPr>
    </xdr:pic>
    <xdr:clientData fLocksWithSheet="0"/>
  </xdr:oneCellAnchor>
  <xdr:oneCellAnchor>
    <xdr:from>
      <xdr:col>5</xdr:col>
      <xdr:colOff>0</xdr:colOff>
      <xdr:row>22</xdr:row>
      <xdr:rowOff>0</xdr:rowOff>
    </xdr:from>
    <xdr:ext cx="723900" cy="723900"/>
    <xdr:pic>
      <xdr:nvPicPr>
        <xdr:cNvPr id="0" name="image474.png"/>
        <xdr:cNvPicPr preferRelativeResize="0"/>
      </xdr:nvPicPr>
      <xdr:blipFill>
        <a:blip cstate="print" r:embed="rId74"/>
        <a:stretch>
          <a:fillRect/>
        </a:stretch>
      </xdr:blipFill>
      <xdr:spPr>
        <a:prstGeom prst="rect">
          <a:avLst/>
        </a:prstGeom>
        <a:noFill/>
      </xdr:spPr>
    </xdr:pic>
    <xdr:clientData fLocksWithSheet="0"/>
  </xdr:oneCellAnchor>
  <xdr:oneCellAnchor>
    <xdr:from>
      <xdr:col>6</xdr:col>
      <xdr:colOff>0</xdr:colOff>
      <xdr:row>22</xdr:row>
      <xdr:rowOff>0</xdr:rowOff>
    </xdr:from>
    <xdr:ext cx="723900" cy="723900"/>
    <xdr:pic>
      <xdr:nvPicPr>
        <xdr:cNvPr id="0" name="image484.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23</xdr:row>
      <xdr:rowOff>0</xdr:rowOff>
    </xdr:from>
    <xdr:ext cx="723900" cy="723900"/>
    <xdr:pic>
      <xdr:nvPicPr>
        <xdr:cNvPr id="0" name="image488.png"/>
        <xdr:cNvPicPr preferRelativeResize="0"/>
      </xdr:nvPicPr>
      <xdr:blipFill>
        <a:blip cstate="print" r:embed="rId76"/>
        <a:stretch>
          <a:fillRect/>
        </a:stretch>
      </xdr:blipFill>
      <xdr:spPr>
        <a:prstGeom prst="rect">
          <a:avLst/>
        </a:prstGeom>
        <a:noFill/>
      </xdr:spPr>
    </xdr:pic>
    <xdr:clientData fLocksWithSheet="0"/>
  </xdr:oneCellAnchor>
  <xdr:oneCellAnchor>
    <xdr:from>
      <xdr:col>4</xdr:col>
      <xdr:colOff>0</xdr:colOff>
      <xdr:row>23</xdr:row>
      <xdr:rowOff>0</xdr:rowOff>
    </xdr:from>
    <xdr:ext cx="723900" cy="723900"/>
    <xdr:pic>
      <xdr:nvPicPr>
        <xdr:cNvPr id="0" name="image511.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23</xdr:row>
      <xdr:rowOff>0</xdr:rowOff>
    </xdr:from>
    <xdr:ext cx="723900" cy="723900"/>
    <xdr:pic>
      <xdr:nvPicPr>
        <xdr:cNvPr id="0" name="image486.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23</xdr:row>
      <xdr:rowOff>0</xdr:rowOff>
    </xdr:from>
    <xdr:ext cx="723900" cy="723900"/>
    <xdr:pic>
      <xdr:nvPicPr>
        <xdr:cNvPr id="0" name="image483.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24</xdr:row>
      <xdr:rowOff>0</xdr:rowOff>
    </xdr:from>
    <xdr:ext cx="723900" cy="723900"/>
    <xdr:pic>
      <xdr:nvPicPr>
        <xdr:cNvPr id="0" name="image482.png"/>
        <xdr:cNvPicPr preferRelativeResize="0"/>
      </xdr:nvPicPr>
      <xdr:blipFill>
        <a:blip cstate="print" r:embed="rId78"/>
        <a:stretch>
          <a:fillRect/>
        </a:stretch>
      </xdr:blipFill>
      <xdr:spPr>
        <a:prstGeom prst="rect">
          <a:avLst/>
        </a:prstGeom>
        <a:noFill/>
      </xdr:spPr>
    </xdr:pic>
    <xdr:clientData fLocksWithSheet="0"/>
  </xdr:oneCellAnchor>
  <xdr:oneCellAnchor>
    <xdr:from>
      <xdr:col>4</xdr:col>
      <xdr:colOff>0</xdr:colOff>
      <xdr:row>24</xdr:row>
      <xdr:rowOff>0</xdr:rowOff>
    </xdr:from>
    <xdr:ext cx="723900" cy="723900"/>
    <xdr:pic>
      <xdr:nvPicPr>
        <xdr:cNvPr id="0" name="image491.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24</xdr:row>
      <xdr:rowOff>0</xdr:rowOff>
    </xdr:from>
    <xdr:ext cx="723900" cy="723900"/>
    <xdr:pic>
      <xdr:nvPicPr>
        <xdr:cNvPr id="0" name="image487.png"/>
        <xdr:cNvPicPr preferRelativeResize="0"/>
      </xdr:nvPicPr>
      <xdr:blipFill>
        <a:blip cstate="print" r:embed="rId73"/>
        <a:stretch>
          <a:fillRect/>
        </a:stretch>
      </xdr:blipFill>
      <xdr:spPr>
        <a:prstGeom prst="rect">
          <a:avLst/>
        </a:prstGeom>
        <a:noFill/>
      </xdr:spPr>
    </xdr:pic>
    <xdr:clientData fLocksWithSheet="0"/>
  </xdr:oneCellAnchor>
  <xdr:oneCellAnchor>
    <xdr:from>
      <xdr:col>6</xdr:col>
      <xdr:colOff>0</xdr:colOff>
      <xdr:row>24</xdr:row>
      <xdr:rowOff>0</xdr:rowOff>
    </xdr:from>
    <xdr:ext cx="723900" cy="723900"/>
    <xdr:pic>
      <xdr:nvPicPr>
        <xdr:cNvPr id="0" name="image49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25</xdr:row>
      <xdr:rowOff>0</xdr:rowOff>
    </xdr:from>
    <xdr:ext cx="723900" cy="723900"/>
    <xdr:pic>
      <xdr:nvPicPr>
        <xdr:cNvPr id="0" name="image492.png"/>
        <xdr:cNvPicPr preferRelativeResize="0"/>
      </xdr:nvPicPr>
      <xdr:blipFill>
        <a:blip cstate="print" r:embed="rId79"/>
        <a:stretch>
          <a:fillRect/>
        </a:stretch>
      </xdr:blipFill>
      <xdr:spPr>
        <a:prstGeom prst="rect">
          <a:avLst/>
        </a:prstGeom>
        <a:noFill/>
      </xdr:spPr>
    </xdr:pic>
    <xdr:clientData fLocksWithSheet="0"/>
  </xdr:oneCellAnchor>
  <xdr:oneCellAnchor>
    <xdr:from>
      <xdr:col>4</xdr:col>
      <xdr:colOff>0</xdr:colOff>
      <xdr:row>25</xdr:row>
      <xdr:rowOff>0</xdr:rowOff>
    </xdr:from>
    <xdr:ext cx="723900" cy="723900"/>
    <xdr:pic>
      <xdr:nvPicPr>
        <xdr:cNvPr id="0" name="image489.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25</xdr:row>
      <xdr:rowOff>0</xdr:rowOff>
    </xdr:from>
    <xdr:ext cx="723900" cy="723900"/>
    <xdr:pic>
      <xdr:nvPicPr>
        <xdr:cNvPr id="0" name="image490.png"/>
        <xdr:cNvPicPr preferRelativeResize="0"/>
      </xdr:nvPicPr>
      <xdr:blipFill>
        <a:blip cstate="print" r:embed="rId80"/>
        <a:stretch>
          <a:fillRect/>
        </a:stretch>
      </xdr:blipFill>
      <xdr:spPr>
        <a:prstGeom prst="rect">
          <a:avLst/>
        </a:prstGeom>
        <a:noFill/>
      </xdr:spPr>
    </xdr:pic>
    <xdr:clientData fLocksWithSheet="0"/>
  </xdr:oneCellAnchor>
  <xdr:oneCellAnchor>
    <xdr:from>
      <xdr:col>6</xdr:col>
      <xdr:colOff>0</xdr:colOff>
      <xdr:row>25</xdr:row>
      <xdr:rowOff>0</xdr:rowOff>
    </xdr:from>
    <xdr:ext cx="723900" cy="723900"/>
    <xdr:pic>
      <xdr:nvPicPr>
        <xdr:cNvPr id="0" name="image495.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26</xdr:row>
      <xdr:rowOff>0</xdr:rowOff>
    </xdr:from>
    <xdr:ext cx="723900" cy="723900"/>
    <xdr:pic>
      <xdr:nvPicPr>
        <xdr:cNvPr id="0" name="image496.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26</xdr:row>
      <xdr:rowOff>0</xdr:rowOff>
    </xdr:from>
    <xdr:ext cx="723900" cy="723900"/>
    <xdr:pic>
      <xdr:nvPicPr>
        <xdr:cNvPr id="0" name="image498.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26</xdr:row>
      <xdr:rowOff>0</xdr:rowOff>
    </xdr:from>
    <xdr:ext cx="723900" cy="723900"/>
    <xdr:pic>
      <xdr:nvPicPr>
        <xdr:cNvPr id="0" name="image497.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26</xdr:row>
      <xdr:rowOff>0</xdr:rowOff>
    </xdr:from>
    <xdr:ext cx="723900" cy="723900"/>
    <xdr:pic>
      <xdr:nvPicPr>
        <xdr:cNvPr id="0" name="image500.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27</xdr:row>
      <xdr:rowOff>0</xdr:rowOff>
    </xdr:from>
    <xdr:ext cx="733425" cy="723900"/>
    <xdr:pic>
      <xdr:nvPicPr>
        <xdr:cNvPr id="0" name="image506.png"/>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27</xdr:row>
      <xdr:rowOff>0</xdr:rowOff>
    </xdr:from>
    <xdr:ext cx="723900" cy="723900"/>
    <xdr:pic>
      <xdr:nvPicPr>
        <xdr:cNvPr id="0" name="image502.png"/>
        <xdr:cNvPicPr preferRelativeResize="0"/>
      </xdr:nvPicPr>
      <xdr:blipFill>
        <a:blip cstate="print" r:embed="rId84"/>
        <a:stretch>
          <a:fillRect/>
        </a:stretch>
      </xdr:blipFill>
      <xdr:spPr>
        <a:prstGeom prst="rect">
          <a:avLst/>
        </a:prstGeom>
        <a:noFill/>
      </xdr:spPr>
    </xdr:pic>
    <xdr:clientData fLocksWithSheet="0"/>
  </xdr:oneCellAnchor>
  <xdr:oneCellAnchor>
    <xdr:from>
      <xdr:col>5</xdr:col>
      <xdr:colOff>0</xdr:colOff>
      <xdr:row>27</xdr:row>
      <xdr:rowOff>0</xdr:rowOff>
    </xdr:from>
    <xdr:ext cx="723900" cy="723900"/>
    <xdr:pic>
      <xdr:nvPicPr>
        <xdr:cNvPr id="0" name="image499.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28</xdr:row>
      <xdr:rowOff>0</xdr:rowOff>
    </xdr:from>
    <xdr:ext cx="733425" cy="723900"/>
    <xdr:pic>
      <xdr:nvPicPr>
        <xdr:cNvPr id="0" name="image504.png"/>
        <xdr:cNvPicPr preferRelativeResize="0"/>
      </xdr:nvPicPr>
      <xdr:blipFill>
        <a:blip cstate="print" r:embed="rId86"/>
        <a:stretch>
          <a:fillRect/>
        </a:stretch>
      </xdr:blipFill>
      <xdr:spPr>
        <a:prstGeom prst="rect">
          <a:avLst/>
        </a:prstGeom>
        <a:noFill/>
      </xdr:spPr>
    </xdr:pic>
    <xdr:clientData fLocksWithSheet="0"/>
  </xdr:oneCellAnchor>
  <xdr:oneCellAnchor>
    <xdr:from>
      <xdr:col>4</xdr:col>
      <xdr:colOff>0</xdr:colOff>
      <xdr:row>28</xdr:row>
      <xdr:rowOff>0</xdr:rowOff>
    </xdr:from>
    <xdr:ext cx="723900" cy="723900"/>
    <xdr:pic>
      <xdr:nvPicPr>
        <xdr:cNvPr id="0" name="image501.png"/>
        <xdr:cNvPicPr preferRelativeResize="0"/>
      </xdr:nvPicPr>
      <xdr:blipFill>
        <a:blip cstate="print" r:embed="rId87"/>
        <a:stretch>
          <a:fillRect/>
        </a:stretch>
      </xdr:blipFill>
      <xdr:spPr>
        <a:prstGeom prst="rect">
          <a:avLst/>
        </a:prstGeom>
        <a:noFill/>
      </xdr:spPr>
    </xdr:pic>
    <xdr:clientData fLocksWithSheet="0"/>
  </xdr:oneCellAnchor>
  <xdr:oneCellAnchor>
    <xdr:from>
      <xdr:col>5</xdr:col>
      <xdr:colOff>0</xdr:colOff>
      <xdr:row>28</xdr:row>
      <xdr:rowOff>0</xdr:rowOff>
    </xdr:from>
    <xdr:ext cx="723900" cy="723900"/>
    <xdr:pic>
      <xdr:nvPicPr>
        <xdr:cNvPr id="0" name="image509.png"/>
        <xdr:cNvPicPr preferRelativeResize="0"/>
      </xdr:nvPicPr>
      <xdr:blipFill>
        <a:blip cstate="print" r:embed="rId88"/>
        <a:stretch>
          <a:fillRect/>
        </a:stretch>
      </xdr:blipFill>
      <xdr:spPr>
        <a:prstGeom prst="rect">
          <a:avLst/>
        </a:prstGeom>
        <a:noFill/>
      </xdr:spPr>
    </xdr:pic>
    <xdr:clientData fLocksWithSheet="0"/>
  </xdr:oneCellAnchor>
  <xdr:oneCellAnchor>
    <xdr:from>
      <xdr:col>6</xdr:col>
      <xdr:colOff>0</xdr:colOff>
      <xdr:row>28</xdr:row>
      <xdr:rowOff>0</xdr:rowOff>
    </xdr:from>
    <xdr:ext cx="723900" cy="723900"/>
    <xdr:pic>
      <xdr:nvPicPr>
        <xdr:cNvPr id="0" name="image512.png"/>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0</xdr:colOff>
      <xdr:row>29</xdr:row>
      <xdr:rowOff>0</xdr:rowOff>
    </xdr:from>
    <xdr:ext cx="733425" cy="723900"/>
    <xdr:pic>
      <xdr:nvPicPr>
        <xdr:cNvPr id="0" name="image507.png"/>
        <xdr:cNvPicPr preferRelativeResize="0"/>
      </xdr:nvPicPr>
      <xdr:blipFill>
        <a:blip cstate="print" r:embed="rId90"/>
        <a:stretch>
          <a:fillRect/>
        </a:stretch>
      </xdr:blipFill>
      <xdr:spPr>
        <a:prstGeom prst="rect">
          <a:avLst/>
        </a:prstGeom>
        <a:noFill/>
      </xdr:spPr>
    </xdr:pic>
    <xdr:clientData fLocksWithSheet="0"/>
  </xdr:oneCellAnchor>
  <xdr:oneCellAnchor>
    <xdr:from>
      <xdr:col>4</xdr:col>
      <xdr:colOff>0</xdr:colOff>
      <xdr:row>29</xdr:row>
      <xdr:rowOff>0</xdr:rowOff>
    </xdr:from>
    <xdr:ext cx="723900" cy="723900"/>
    <xdr:pic>
      <xdr:nvPicPr>
        <xdr:cNvPr id="0" name="image520.png"/>
        <xdr:cNvPicPr preferRelativeResize="0"/>
      </xdr:nvPicPr>
      <xdr:blipFill>
        <a:blip cstate="print" r:embed="rId91"/>
        <a:stretch>
          <a:fillRect/>
        </a:stretch>
      </xdr:blipFill>
      <xdr:spPr>
        <a:prstGeom prst="rect">
          <a:avLst/>
        </a:prstGeom>
        <a:noFill/>
      </xdr:spPr>
    </xdr:pic>
    <xdr:clientData fLocksWithSheet="0"/>
  </xdr:oneCellAnchor>
  <xdr:oneCellAnchor>
    <xdr:from>
      <xdr:col>5</xdr:col>
      <xdr:colOff>0</xdr:colOff>
      <xdr:row>29</xdr:row>
      <xdr:rowOff>0</xdr:rowOff>
    </xdr:from>
    <xdr:ext cx="723900" cy="723900"/>
    <xdr:pic>
      <xdr:nvPicPr>
        <xdr:cNvPr id="0" name="image505.png"/>
        <xdr:cNvPicPr preferRelativeResize="0"/>
      </xdr:nvPicPr>
      <xdr:blipFill>
        <a:blip cstate="print" r:embed="rId92"/>
        <a:stretch>
          <a:fillRect/>
        </a:stretch>
      </xdr:blipFill>
      <xdr:spPr>
        <a:prstGeom prst="rect">
          <a:avLst/>
        </a:prstGeom>
        <a:noFill/>
      </xdr:spPr>
    </xdr:pic>
    <xdr:clientData fLocksWithSheet="0"/>
  </xdr:oneCellAnchor>
  <xdr:oneCellAnchor>
    <xdr:from>
      <xdr:col>6</xdr:col>
      <xdr:colOff>0</xdr:colOff>
      <xdr:row>29</xdr:row>
      <xdr:rowOff>0</xdr:rowOff>
    </xdr:from>
    <xdr:ext cx="723900" cy="723900"/>
    <xdr:pic>
      <xdr:nvPicPr>
        <xdr:cNvPr id="0" name="image514.png"/>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30</xdr:row>
      <xdr:rowOff>0</xdr:rowOff>
    </xdr:from>
    <xdr:ext cx="723900" cy="723900"/>
    <xdr:pic>
      <xdr:nvPicPr>
        <xdr:cNvPr id="0" name="image508.png"/>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30</xdr:row>
      <xdr:rowOff>0</xdr:rowOff>
    </xdr:from>
    <xdr:ext cx="723900" cy="723900"/>
    <xdr:pic>
      <xdr:nvPicPr>
        <xdr:cNvPr id="0" name="image516.png"/>
        <xdr:cNvPicPr preferRelativeResize="0"/>
      </xdr:nvPicPr>
      <xdr:blipFill>
        <a:blip cstate="print" r:embed="rId95"/>
        <a:stretch>
          <a:fillRect/>
        </a:stretch>
      </xdr:blipFill>
      <xdr:spPr>
        <a:prstGeom prst="rect">
          <a:avLst/>
        </a:prstGeom>
        <a:noFill/>
      </xdr:spPr>
    </xdr:pic>
    <xdr:clientData fLocksWithSheet="0"/>
  </xdr:oneCellAnchor>
  <xdr:oneCellAnchor>
    <xdr:from>
      <xdr:col>5</xdr:col>
      <xdr:colOff>0</xdr:colOff>
      <xdr:row>30</xdr:row>
      <xdr:rowOff>0</xdr:rowOff>
    </xdr:from>
    <xdr:ext cx="723900" cy="723900"/>
    <xdr:pic>
      <xdr:nvPicPr>
        <xdr:cNvPr id="0" name="image503.png"/>
        <xdr:cNvPicPr preferRelativeResize="0"/>
      </xdr:nvPicPr>
      <xdr:blipFill>
        <a:blip cstate="print" r:embed="rId96"/>
        <a:stretch>
          <a:fillRect/>
        </a:stretch>
      </xdr:blipFill>
      <xdr:spPr>
        <a:prstGeom prst="rect">
          <a:avLst/>
        </a:prstGeom>
        <a:noFill/>
      </xdr:spPr>
    </xdr:pic>
    <xdr:clientData fLocksWithSheet="0"/>
  </xdr:oneCellAnchor>
  <xdr:oneCellAnchor>
    <xdr:from>
      <xdr:col>6</xdr:col>
      <xdr:colOff>0</xdr:colOff>
      <xdr:row>30</xdr:row>
      <xdr:rowOff>0</xdr:rowOff>
    </xdr:from>
    <xdr:ext cx="723900" cy="723900"/>
    <xdr:pic>
      <xdr:nvPicPr>
        <xdr:cNvPr id="0" name="image515.png"/>
        <xdr:cNvPicPr preferRelativeResize="0"/>
      </xdr:nvPicPr>
      <xdr:blipFill>
        <a:blip cstate="print" r:embed="rId97"/>
        <a:stretch>
          <a:fillRect/>
        </a:stretch>
      </xdr:blipFill>
      <xdr:spPr>
        <a:prstGeom prst="rect">
          <a:avLst/>
        </a:prstGeom>
        <a:noFill/>
      </xdr:spPr>
    </xdr:pic>
    <xdr:clientData fLocksWithSheet="0"/>
  </xdr:oneCellAnchor>
  <xdr:oneCellAnchor>
    <xdr:from>
      <xdr:col>0</xdr:col>
      <xdr:colOff>0</xdr:colOff>
      <xdr:row>31</xdr:row>
      <xdr:rowOff>0</xdr:rowOff>
    </xdr:from>
    <xdr:ext cx="723900" cy="723900"/>
    <xdr:pic>
      <xdr:nvPicPr>
        <xdr:cNvPr id="0" name="image517.png"/>
        <xdr:cNvPicPr preferRelativeResize="0"/>
      </xdr:nvPicPr>
      <xdr:blipFill>
        <a:blip cstate="print" r:embed="rId98"/>
        <a:stretch>
          <a:fillRect/>
        </a:stretch>
      </xdr:blipFill>
      <xdr:spPr>
        <a:prstGeom prst="rect">
          <a:avLst/>
        </a:prstGeom>
        <a:noFill/>
      </xdr:spPr>
    </xdr:pic>
    <xdr:clientData fLocksWithSheet="0"/>
  </xdr:oneCellAnchor>
  <xdr:oneCellAnchor>
    <xdr:from>
      <xdr:col>4</xdr:col>
      <xdr:colOff>0</xdr:colOff>
      <xdr:row>31</xdr:row>
      <xdr:rowOff>0</xdr:rowOff>
    </xdr:from>
    <xdr:ext cx="723900" cy="723900"/>
    <xdr:pic>
      <xdr:nvPicPr>
        <xdr:cNvPr id="0" name="image510.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31</xdr:row>
      <xdr:rowOff>0</xdr:rowOff>
    </xdr:from>
    <xdr:ext cx="723900" cy="723900"/>
    <xdr:pic>
      <xdr:nvPicPr>
        <xdr:cNvPr id="0" name="image513.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31</xdr:row>
      <xdr:rowOff>0</xdr:rowOff>
    </xdr:from>
    <xdr:ext cx="723900" cy="723900"/>
    <xdr:pic>
      <xdr:nvPicPr>
        <xdr:cNvPr id="0" name="image518.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32</xdr:row>
      <xdr:rowOff>0</xdr:rowOff>
    </xdr:from>
    <xdr:ext cx="723900" cy="723900"/>
    <xdr:pic>
      <xdr:nvPicPr>
        <xdr:cNvPr id="0" name="image519.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32</xdr:row>
      <xdr:rowOff>0</xdr:rowOff>
    </xdr:from>
    <xdr:ext cx="723900" cy="723900"/>
    <xdr:pic>
      <xdr:nvPicPr>
        <xdr:cNvPr id="0" name="image459.png"/>
        <xdr:cNvPicPr preferRelativeResize="0"/>
      </xdr:nvPicPr>
      <xdr:blipFill>
        <a:blip cstate="print" r:embed="rId56"/>
        <a:stretch>
          <a:fillRect/>
        </a:stretch>
      </xdr:blipFill>
      <xdr:spPr>
        <a:prstGeom prst="rect">
          <a:avLst/>
        </a:prstGeom>
        <a:noFill/>
      </xdr:spPr>
    </xdr:pic>
    <xdr:clientData fLocksWithSheet="0"/>
  </xdr:oneCellAnchor>
  <xdr:oneCellAnchor>
    <xdr:from>
      <xdr:col>5</xdr:col>
      <xdr:colOff>0</xdr:colOff>
      <xdr:row>32</xdr:row>
      <xdr:rowOff>0</xdr:rowOff>
    </xdr:from>
    <xdr:ext cx="723900" cy="723900"/>
    <xdr:pic>
      <xdr:nvPicPr>
        <xdr:cNvPr id="0" name="image521.png"/>
        <xdr:cNvPicPr preferRelativeResize="0"/>
      </xdr:nvPicPr>
      <xdr:blipFill>
        <a:blip cstate="print" r:embed="rId100"/>
        <a:stretch>
          <a:fillRect/>
        </a:stretch>
      </xdr:blipFill>
      <xdr:spPr>
        <a:prstGeom prst="rect">
          <a:avLst/>
        </a:prstGeom>
        <a:noFill/>
      </xdr:spPr>
    </xdr:pic>
    <xdr:clientData fLocksWithSheet="0"/>
  </xdr:oneCellAnchor>
  <xdr:oneCellAnchor>
    <xdr:from>
      <xdr:col>6</xdr:col>
      <xdr:colOff>0</xdr:colOff>
      <xdr:row>32</xdr:row>
      <xdr:rowOff>0</xdr:rowOff>
    </xdr:from>
    <xdr:ext cx="723900" cy="723900"/>
    <xdr:pic>
      <xdr:nvPicPr>
        <xdr:cNvPr id="0" name="image457.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33</xdr:row>
      <xdr:rowOff>0</xdr:rowOff>
    </xdr:from>
    <xdr:ext cx="723900" cy="723900"/>
    <xdr:pic>
      <xdr:nvPicPr>
        <xdr:cNvPr id="0" name="image522.png"/>
        <xdr:cNvPicPr preferRelativeResize="0"/>
      </xdr:nvPicPr>
      <xdr:blipFill>
        <a:blip cstate="print" r:embed="rId101"/>
        <a:stretch>
          <a:fillRect/>
        </a:stretch>
      </xdr:blipFill>
      <xdr:spPr>
        <a:prstGeom prst="rect">
          <a:avLst/>
        </a:prstGeom>
        <a:noFill/>
      </xdr:spPr>
    </xdr:pic>
    <xdr:clientData fLocksWithSheet="0"/>
  </xdr:oneCellAnchor>
  <xdr:oneCellAnchor>
    <xdr:from>
      <xdr:col>4</xdr:col>
      <xdr:colOff>0</xdr:colOff>
      <xdr:row>33</xdr:row>
      <xdr:rowOff>0</xdr:rowOff>
    </xdr:from>
    <xdr:ext cx="723900" cy="723900"/>
    <xdr:pic>
      <xdr:nvPicPr>
        <xdr:cNvPr id="0" name="image526.png"/>
        <xdr:cNvPicPr preferRelativeResize="0"/>
      </xdr:nvPicPr>
      <xdr:blipFill>
        <a:blip cstate="print" r:embed="rId102"/>
        <a:stretch>
          <a:fillRect/>
        </a:stretch>
      </xdr:blipFill>
      <xdr:spPr>
        <a:prstGeom prst="rect">
          <a:avLst/>
        </a:prstGeom>
        <a:noFill/>
      </xdr:spPr>
    </xdr:pic>
    <xdr:clientData fLocksWithSheet="0"/>
  </xdr:oneCellAnchor>
  <xdr:oneCellAnchor>
    <xdr:from>
      <xdr:col>5</xdr:col>
      <xdr:colOff>0</xdr:colOff>
      <xdr:row>33</xdr:row>
      <xdr:rowOff>0</xdr:rowOff>
    </xdr:from>
    <xdr:ext cx="723900" cy="723900"/>
    <xdr:pic>
      <xdr:nvPicPr>
        <xdr:cNvPr id="0" name="image523.png"/>
        <xdr:cNvPicPr preferRelativeResize="0"/>
      </xdr:nvPicPr>
      <xdr:blipFill>
        <a:blip cstate="print" r:embed="rId66"/>
        <a:stretch>
          <a:fillRect/>
        </a:stretch>
      </xdr:blipFill>
      <xdr:spPr>
        <a:prstGeom prst="rect">
          <a:avLst/>
        </a:prstGeom>
        <a:noFill/>
      </xdr:spPr>
    </xdr:pic>
    <xdr:clientData fLocksWithSheet="0"/>
  </xdr:oneCellAnchor>
  <xdr:oneCellAnchor>
    <xdr:from>
      <xdr:col>6</xdr:col>
      <xdr:colOff>0</xdr:colOff>
      <xdr:row>33</xdr:row>
      <xdr:rowOff>0</xdr:rowOff>
    </xdr:from>
    <xdr:ext cx="723900" cy="723900"/>
    <xdr:pic>
      <xdr:nvPicPr>
        <xdr:cNvPr id="0" name="image525.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34</xdr:row>
      <xdr:rowOff>0</xdr:rowOff>
    </xdr:from>
    <xdr:ext cx="723900" cy="723900"/>
    <xdr:pic>
      <xdr:nvPicPr>
        <xdr:cNvPr id="0" name="image528.png"/>
        <xdr:cNvPicPr preferRelativeResize="0"/>
      </xdr:nvPicPr>
      <xdr:blipFill>
        <a:blip cstate="print" r:embed="rId103"/>
        <a:stretch>
          <a:fillRect/>
        </a:stretch>
      </xdr:blipFill>
      <xdr:spPr>
        <a:prstGeom prst="rect">
          <a:avLst/>
        </a:prstGeom>
        <a:noFill/>
      </xdr:spPr>
    </xdr:pic>
    <xdr:clientData fLocksWithSheet="0"/>
  </xdr:oneCellAnchor>
  <xdr:oneCellAnchor>
    <xdr:from>
      <xdr:col>4</xdr:col>
      <xdr:colOff>0</xdr:colOff>
      <xdr:row>34</xdr:row>
      <xdr:rowOff>0</xdr:rowOff>
    </xdr:from>
    <xdr:ext cx="723900" cy="723900"/>
    <xdr:pic>
      <xdr:nvPicPr>
        <xdr:cNvPr id="0" name="image527.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34</xdr:row>
      <xdr:rowOff>0</xdr:rowOff>
    </xdr:from>
    <xdr:ext cx="723900" cy="723900"/>
    <xdr:pic>
      <xdr:nvPicPr>
        <xdr:cNvPr id="0" name="image510.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34</xdr:row>
      <xdr:rowOff>0</xdr:rowOff>
    </xdr:from>
    <xdr:ext cx="723900" cy="723900"/>
    <xdr:pic>
      <xdr:nvPicPr>
        <xdr:cNvPr id="0" name="image518.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35</xdr:row>
      <xdr:rowOff>0</xdr:rowOff>
    </xdr:from>
    <xdr:ext cx="723900" cy="723900"/>
    <xdr:pic>
      <xdr:nvPicPr>
        <xdr:cNvPr id="0" name="image551.png"/>
        <xdr:cNvPicPr preferRelativeResize="0"/>
      </xdr:nvPicPr>
      <xdr:blipFill>
        <a:blip cstate="print" r:embed="rId104"/>
        <a:stretch>
          <a:fillRect/>
        </a:stretch>
      </xdr:blipFill>
      <xdr:spPr>
        <a:prstGeom prst="rect">
          <a:avLst/>
        </a:prstGeom>
        <a:noFill/>
      </xdr:spPr>
    </xdr:pic>
    <xdr:clientData fLocksWithSheet="0"/>
  </xdr:oneCellAnchor>
  <xdr:oneCellAnchor>
    <xdr:from>
      <xdr:col>4</xdr:col>
      <xdr:colOff>0</xdr:colOff>
      <xdr:row>35</xdr:row>
      <xdr:rowOff>0</xdr:rowOff>
    </xdr:from>
    <xdr:ext cx="723900" cy="723900"/>
    <xdr:pic>
      <xdr:nvPicPr>
        <xdr:cNvPr id="0" name="image53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35</xdr:row>
      <xdr:rowOff>0</xdr:rowOff>
    </xdr:from>
    <xdr:ext cx="723900" cy="723900"/>
    <xdr:pic>
      <xdr:nvPicPr>
        <xdr:cNvPr id="0" name="image534.png"/>
        <xdr:cNvPicPr preferRelativeResize="0"/>
      </xdr:nvPicPr>
      <xdr:blipFill>
        <a:blip cstate="print" r:embed="rId55"/>
        <a:stretch>
          <a:fillRect/>
        </a:stretch>
      </xdr:blipFill>
      <xdr:spPr>
        <a:prstGeom prst="rect">
          <a:avLst/>
        </a:prstGeom>
        <a:noFill/>
      </xdr:spPr>
    </xdr:pic>
    <xdr:clientData fLocksWithSheet="0"/>
  </xdr:oneCellAnchor>
  <xdr:oneCellAnchor>
    <xdr:from>
      <xdr:col>6</xdr:col>
      <xdr:colOff>0</xdr:colOff>
      <xdr:row>35</xdr:row>
      <xdr:rowOff>0</xdr:rowOff>
    </xdr:from>
    <xdr:ext cx="723900" cy="723900"/>
    <xdr:pic>
      <xdr:nvPicPr>
        <xdr:cNvPr id="0" name="image529.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36</xdr:row>
      <xdr:rowOff>0</xdr:rowOff>
    </xdr:from>
    <xdr:ext cx="723900" cy="723900"/>
    <xdr:pic>
      <xdr:nvPicPr>
        <xdr:cNvPr id="0" name="image535.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36</xdr:row>
      <xdr:rowOff>0</xdr:rowOff>
    </xdr:from>
    <xdr:ext cx="723900" cy="723900"/>
    <xdr:pic>
      <xdr:nvPicPr>
        <xdr:cNvPr id="0" name="image43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36</xdr:row>
      <xdr:rowOff>0</xdr:rowOff>
    </xdr:from>
    <xdr:ext cx="723900" cy="723900"/>
    <xdr:pic>
      <xdr:nvPicPr>
        <xdr:cNvPr id="0" name="image532.png"/>
        <xdr:cNvPicPr preferRelativeResize="0"/>
      </xdr:nvPicPr>
      <xdr:blipFill>
        <a:blip cstate="print" r:embed="rId88"/>
        <a:stretch>
          <a:fillRect/>
        </a:stretch>
      </xdr:blipFill>
      <xdr:spPr>
        <a:prstGeom prst="rect">
          <a:avLst/>
        </a:prstGeom>
        <a:noFill/>
      </xdr:spPr>
    </xdr:pic>
    <xdr:clientData fLocksWithSheet="0"/>
  </xdr:oneCellAnchor>
  <xdr:oneCellAnchor>
    <xdr:from>
      <xdr:col>6</xdr:col>
      <xdr:colOff>0</xdr:colOff>
      <xdr:row>36</xdr:row>
      <xdr:rowOff>0</xdr:rowOff>
    </xdr:from>
    <xdr:ext cx="723900" cy="723900"/>
    <xdr:pic>
      <xdr:nvPicPr>
        <xdr:cNvPr id="0" name="image537.png"/>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37</xdr:row>
      <xdr:rowOff>0</xdr:rowOff>
    </xdr:from>
    <xdr:ext cx="723900" cy="723900"/>
    <xdr:pic>
      <xdr:nvPicPr>
        <xdr:cNvPr id="0" name="image539.png"/>
        <xdr:cNvPicPr preferRelativeResize="0"/>
      </xdr:nvPicPr>
      <xdr:blipFill>
        <a:blip cstate="print" r:embed="rId107"/>
        <a:stretch>
          <a:fillRect/>
        </a:stretch>
      </xdr:blipFill>
      <xdr:spPr>
        <a:prstGeom prst="rect">
          <a:avLst/>
        </a:prstGeom>
        <a:noFill/>
      </xdr:spPr>
    </xdr:pic>
    <xdr:clientData fLocksWithSheet="0"/>
  </xdr:oneCellAnchor>
  <xdr:oneCellAnchor>
    <xdr:from>
      <xdr:col>4</xdr:col>
      <xdr:colOff>0</xdr:colOff>
      <xdr:row>37</xdr:row>
      <xdr:rowOff>0</xdr:rowOff>
    </xdr:from>
    <xdr:ext cx="723900" cy="723900"/>
    <xdr:pic>
      <xdr:nvPicPr>
        <xdr:cNvPr id="0" name="image538.png"/>
        <xdr:cNvPicPr preferRelativeResize="0"/>
      </xdr:nvPicPr>
      <xdr:blipFill>
        <a:blip cstate="print" r:embed="rId77"/>
        <a:stretch>
          <a:fillRect/>
        </a:stretch>
      </xdr:blipFill>
      <xdr:spPr>
        <a:prstGeom prst="rect">
          <a:avLst/>
        </a:prstGeom>
        <a:noFill/>
      </xdr:spPr>
    </xdr:pic>
    <xdr:clientData fLocksWithSheet="0"/>
  </xdr:oneCellAnchor>
  <xdr:oneCellAnchor>
    <xdr:from>
      <xdr:col>5</xdr:col>
      <xdr:colOff>0</xdr:colOff>
      <xdr:row>37</xdr:row>
      <xdr:rowOff>0</xdr:rowOff>
    </xdr:from>
    <xdr:ext cx="723900" cy="723900"/>
    <xdr:pic>
      <xdr:nvPicPr>
        <xdr:cNvPr id="0" name="image533.png"/>
        <xdr:cNvPicPr preferRelativeResize="0"/>
      </xdr:nvPicPr>
      <xdr:blipFill>
        <a:blip cstate="print" r:embed="rId108"/>
        <a:stretch>
          <a:fillRect/>
        </a:stretch>
      </xdr:blipFill>
      <xdr:spPr>
        <a:prstGeom prst="rect">
          <a:avLst/>
        </a:prstGeom>
        <a:noFill/>
      </xdr:spPr>
    </xdr:pic>
    <xdr:clientData fLocksWithSheet="0"/>
  </xdr:oneCellAnchor>
  <xdr:oneCellAnchor>
    <xdr:from>
      <xdr:col>6</xdr:col>
      <xdr:colOff>0</xdr:colOff>
      <xdr:row>37</xdr:row>
      <xdr:rowOff>0</xdr:rowOff>
    </xdr:from>
    <xdr:ext cx="723900" cy="723900"/>
    <xdr:pic>
      <xdr:nvPicPr>
        <xdr:cNvPr id="0" name="image540.png"/>
        <xdr:cNvPicPr preferRelativeResize="0"/>
      </xdr:nvPicPr>
      <xdr:blipFill>
        <a:blip cstate="print" r:embed="rId109"/>
        <a:stretch>
          <a:fillRect/>
        </a:stretch>
      </xdr:blipFill>
      <xdr:spPr>
        <a:prstGeom prst="rect">
          <a:avLst/>
        </a:prstGeom>
        <a:noFill/>
      </xdr:spPr>
    </xdr:pic>
    <xdr:clientData fLocksWithSheet="0"/>
  </xdr:oneCellAnchor>
  <xdr:oneCellAnchor>
    <xdr:from>
      <xdr:col>0</xdr:col>
      <xdr:colOff>0</xdr:colOff>
      <xdr:row>38</xdr:row>
      <xdr:rowOff>0</xdr:rowOff>
    </xdr:from>
    <xdr:ext cx="723900" cy="723900"/>
    <xdr:pic>
      <xdr:nvPicPr>
        <xdr:cNvPr id="0" name="image536.png"/>
        <xdr:cNvPicPr preferRelativeResize="0"/>
      </xdr:nvPicPr>
      <xdr:blipFill>
        <a:blip cstate="print" r:embed="rId110"/>
        <a:stretch>
          <a:fillRect/>
        </a:stretch>
      </xdr:blipFill>
      <xdr:spPr>
        <a:prstGeom prst="rect">
          <a:avLst/>
        </a:prstGeom>
        <a:noFill/>
      </xdr:spPr>
    </xdr:pic>
    <xdr:clientData fLocksWithSheet="0"/>
  </xdr:oneCellAnchor>
  <xdr:oneCellAnchor>
    <xdr:from>
      <xdr:col>4</xdr:col>
      <xdr:colOff>0</xdr:colOff>
      <xdr:row>38</xdr:row>
      <xdr:rowOff>0</xdr:rowOff>
    </xdr:from>
    <xdr:ext cx="723900" cy="723900"/>
    <xdr:pic>
      <xdr:nvPicPr>
        <xdr:cNvPr id="0" name="image530.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38</xdr:row>
      <xdr:rowOff>0</xdr:rowOff>
    </xdr:from>
    <xdr:ext cx="723900" cy="723900"/>
    <xdr:pic>
      <xdr:nvPicPr>
        <xdr:cNvPr id="0" name="image541.png"/>
        <xdr:cNvPicPr preferRelativeResize="0"/>
      </xdr:nvPicPr>
      <xdr:blipFill>
        <a:blip cstate="print" r:embed="rId61"/>
        <a:stretch>
          <a:fillRect/>
        </a:stretch>
      </xdr:blipFill>
      <xdr:spPr>
        <a:prstGeom prst="rect">
          <a:avLst/>
        </a:prstGeom>
        <a:noFill/>
      </xdr:spPr>
    </xdr:pic>
    <xdr:clientData fLocksWithSheet="0"/>
  </xdr:oneCellAnchor>
  <xdr:oneCellAnchor>
    <xdr:from>
      <xdr:col>6</xdr:col>
      <xdr:colOff>0</xdr:colOff>
      <xdr:row>38</xdr:row>
      <xdr:rowOff>0</xdr:rowOff>
    </xdr:from>
    <xdr:ext cx="723900" cy="723900"/>
    <xdr:pic>
      <xdr:nvPicPr>
        <xdr:cNvPr id="0" name="image542.png"/>
        <xdr:cNvPicPr preferRelativeResize="0"/>
      </xdr:nvPicPr>
      <xdr:blipFill>
        <a:blip cstate="print" r:embed="rId111"/>
        <a:stretch>
          <a:fillRect/>
        </a:stretch>
      </xdr:blipFill>
      <xdr:spPr>
        <a:prstGeom prst="rect">
          <a:avLst/>
        </a:prstGeom>
        <a:noFill/>
      </xdr:spPr>
    </xdr:pic>
    <xdr:clientData fLocksWithSheet="0"/>
  </xdr:oneCellAnchor>
  <xdr:oneCellAnchor>
    <xdr:from>
      <xdr:col>0</xdr:col>
      <xdr:colOff>0</xdr:colOff>
      <xdr:row>39</xdr:row>
      <xdr:rowOff>0</xdr:rowOff>
    </xdr:from>
    <xdr:ext cx="723900" cy="723900"/>
    <xdr:pic>
      <xdr:nvPicPr>
        <xdr:cNvPr id="0" name="image545.png"/>
        <xdr:cNvPicPr preferRelativeResize="0"/>
      </xdr:nvPicPr>
      <xdr:blipFill>
        <a:blip cstate="print" r:embed="rId112"/>
        <a:stretch>
          <a:fillRect/>
        </a:stretch>
      </xdr:blipFill>
      <xdr:spPr>
        <a:prstGeom prst="rect">
          <a:avLst/>
        </a:prstGeom>
        <a:noFill/>
      </xdr:spPr>
    </xdr:pic>
    <xdr:clientData fLocksWithSheet="0"/>
  </xdr:oneCellAnchor>
  <xdr:oneCellAnchor>
    <xdr:from>
      <xdr:col>4</xdr:col>
      <xdr:colOff>0</xdr:colOff>
      <xdr:row>39</xdr:row>
      <xdr:rowOff>0</xdr:rowOff>
    </xdr:from>
    <xdr:ext cx="723900" cy="723900"/>
    <xdr:pic>
      <xdr:nvPicPr>
        <xdr:cNvPr id="0" name="image567.png"/>
        <xdr:cNvPicPr preferRelativeResize="0"/>
      </xdr:nvPicPr>
      <xdr:blipFill>
        <a:blip cstate="print" r:embed="rId113"/>
        <a:stretch>
          <a:fillRect/>
        </a:stretch>
      </xdr:blipFill>
      <xdr:spPr>
        <a:prstGeom prst="rect">
          <a:avLst/>
        </a:prstGeom>
        <a:noFill/>
      </xdr:spPr>
    </xdr:pic>
    <xdr:clientData fLocksWithSheet="0"/>
  </xdr:oneCellAnchor>
  <xdr:oneCellAnchor>
    <xdr:from>
      <xdr:col>5</xdr:col>
      <xdr:colOff>0</xdr:colOff>
      <xdr:row>39</xdr:row>
      <xdr:rowOff>0</xdr:rowOff>
    </xdr:from>
    <xdr:ext cx="723900" cy="723900"/>
    <xdr:pic>
      <xdr:nvPicPr>
        <xdr:cNvPr id="0" name="image548.png"/>
        <xdr:cNvPicPr preferRelativeResize="0"/>
      </xdr:nvPicPr>
      <xdr:blipFill>
        <a:blip cstate="print" r:embed="rId49"/>
        <a:stretch>
          <a:fillRect/>
        </a:stretch>
      </xdr:blipFill>
      <xdr:spPr>
        <a:prstGeom prst="rect">
          <a:avLst/>
        </a:prstGeom>
        <a:noFill/>
      </xdr:spPr>
    </xdr:pic>
    <xdr:clientData fLocksWithSheet="0"/>
  </xdr:oneCellAnchor>
  <xdr:oneCellAnchor>
    <xdr:from>
      <xdr:col>6</xdr:col>
      <xdr:colOff>0</xdr:colOff>
      <xdr:row>39</xdr:row>
      <xdr:rowOff>0</xdr:rowOff>
    </xdr:from>
    <xdr:ext cx="723900" cy="723900"/>
    <xdr:pic>
      <xdr:nvPicPr>
        <xdr:cNvPr id="0" name="image543.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40</xdr:row>
      <xdr:rowOff>0</xdr:rowOff>
    </xdr:from>
    <xdr:ext cx="723900" cy="723900"/>
    <xdr:pic>
      <xdr:nvPicPr>
        <xdr:cNvPr id="0" name="image546.png"/>
        <xdr:cNvPicPr preferRelativeResize="0"/>
      </xdr:nvPicPr>
      <xdr:blipFill>
        <a:blip cstate="print" r:embed="rId114"/>
        <a:stretch>
          <a:fillRect/>
        </a:stretch>
      </xdr:blipFill>
      <xdr:spPr>
        <a:prstGeom prst="rect">
          <a:avLst/>
        </a:prstGeom>
        <a:noFill/>
      </xdr:spPr>
    </xdr:pic>
    <xdr:clientData fLocksWithSheet="0"/>
  </xdr:oneCellAnchor>
  <xdr:oneCellAnchor>
    <xdr:from>
      <xdr:col>4</xdr:col>
      <xdr:colOff>0</xdr:colOff>
      <xdr:row>40</xdr:row>
      <xdr:rowOff>0</xdr:rowOff>
    </xdr:from>
    <xdr:ext cx="723900" cy="723900"/>
    <xdr:pic>
      <xdr:nvPicPr>
        <xdr:cNvPr id="0" name="image549.png"/>
        <xdr:cNvPicPr preferRelativeResize="0"/>
      </xdr:nvPicPr>
      <xdr:blipFill>
        <a:blip cstate="print" r:embed="rId115"/>
        <a:stretch>
          <a:fillRect/>
        </a:stretch>
      </xdr:blipFill>
      <xdr:spPr>
        <a:prstGeom prst="rect">
          <a:avLst/>
        </a:prstGeom>
        <a:noFill/>
      </xdr:spPr>
    </xdr:pic>
    <xdr:clientData fLocksWithSheet="0"/>
  </xdr:oneCellAnchor>
  <xdr:oneCellAnchor>
    <xdr:from>
      <xdr:col>5</xdr:col>
      <xdr:colOff>0</xdr:colOff>
      <xdr:row>40</xdr:row>
      <xdr:rowOff>0</xdr:rowOff>
    </xdr:from>
    <xdr:ext cx="723900" cy="723900"/>
    <xdr:pic>
      <xdr:nvPicPr>
        <xdr:cNvPr id="0" name="image547.png"/>
        <xdr:cNvPicPr preferRelativeResize="0"/>
      </xdr:nvPicPr>
      <xdr:blipFill>
        <a:blip cstate="print" r:embed="rId61"/>
        <a:stretch>
          <a:fillRect/>
        </a:stretch>
      </xdr:blipFill>
      <xdr:spPr>
        <a:prstGeom prst="rect">
          <a:avLst/>
        </a:prstGeom>
        <a:noFill/>
      </xdr:spPr>
    </xdr:pic>
    <xdr:clientData fLocksWithSheet="0"/>
  </xdr:oneCellAnchor>
  <xdr:oneCellAnchor>
    <xdr:from>
      <xdr:col>6</xdr:col>
      <xdr:colOff>0</xdr:colOff>
      <xdr:row>40</xdr:row>
      <xdr:rowOff>0</xdr:rowOff>
    </xdr:from>
    <xdr:ext cx="723900" cy="723900"/>
    <xdr:pic>
      <xdr:nvPicPr>
        <xdr:cNvPr id="0" name="image544.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41</xdr:row>
      <xdr:rowOff>0</xdr:rowOff>
    </xdr:from>
    <xdr:ext cx="723900" cy="723900"/>
    <xdr:pic>
      <xdr:nvPicPr>
        <xdr:cNvPr id="0" name="image553.png"/>
        <xdr:cNvPicPr preferRelativeResize="0"/>
      </xdr:nvPicPr>
      <xdr:blipFill>
        <a:blip cstate="print" r:embed="rId116"/>
        <a:stretch>
          <a:fillRect/>
        </a:stretch>
      </xdr:blipFill>
      <xdr:spPr>
        <a:prstGeom prst="rect">
          <a:avLst/>
        </a:prstGeom>
        <a:noFill/>
      </xdr:spPr>
    </xdr:pic>
    <xdr:clientData fLocksWithSheet="0"/>
  </xdr:oneCellAnchor>
  <xdr:oneCellAnchor>
    <xdr:from>
      <xdr:col>4</xdr:col>
      <xdr:colOff>0</xdr:colOff>
      <xdr:row>41</xdr:row>
      <xdr:rowOff>0</xdr:rowOff>
    </xdr:from>
    <xdr:ext cx="723900" cy="723900"/>
    <xdr:pic>
      <xdr:nvPicPr>
        <xdr:cNvPr id="0" name="image552.png"/>
        <xdr:cNvPicPr preferRelativeResize="0"/>
      </xdr:nvPicPr>
      <xdr:blipFill>
        <a:blip cstate="print" r:embed="rId85"/>
        <a:stretch>
          <a:fillRect/>
        </a:stretch>
      </xdr:blipFill>
      <xdr:spPr>
        <a:prstGeom prst="rect">
          <a:avLst/>
        </a:prstGeom>
        <a:noFill/>
      </xdr:spPr>
    </xdr:pic>
    <xdr:clientData fLocksWithSheet="0"/>
  </xdr:oneCellAnchor>
  <xdr:oneCellAnchor>
    <xdr:from>
      <xdr:col>5</xdr:col>
      <xdr:colOff>0</xdr:colOff>
      <xdr:row>41</xdr:row>
      <xdr:rowOff>0</xdr:rowOff>
    </xdr:from>
    <xdr:ext cx="723900" cy="723900"/>
    <xdr:pic>
      <xdr:nvPicPr>
        <xdr:cNvPr id="0" name="image550.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41</xdr:row>
      <xdr:rowOff>0</xdr:rowOff>
    </xdr:from>
    <xdr:ext cx="723900" cy="723900"/>
    <xdr:pic>
      <xdr:nvPicPr>
        <xdr:cNvPr id="0" name="image555.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42</xdr:row>
      <xdr:rowOff>0</xdr:rowOff>
    </xdr:from>
    <xdr:ext cx="723900" cy="723900"/>
    <xdr:pic>
      <xdr:nvPicPr>
        <xdr:cNvPr id="0" name="image556.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42</xdr:row>
      <xdr:rowOff>0</xdr:rowOff>
    </xdr:from>
    <xdr:ext cx="723900" cy="723900"/>
    <xdr:pic>
      <xdr:nvPicPr>
        <xdr:cNvPr id="0" name="image559.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42</xdr:row>
      <xdr:rowOff>0</xdr:rowOff>
    </xdr:from>
    <xdr:ext cx="723900" cy="723900"/>
    <xdr:pic>
      <xdr:nvPicPr>
        <xdr:cNvPr id="0" name="image554.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42</xdr:row>
      <xdr:rowOff>0</xdr:rowOff>
    </xdr:from>
    <xdr:ext cx="723900" cy="723900"/>
    <xdr:pic>
      <xdr:nvPicPr>
        <xdr:cNvPr id="0" name="image558.png"/>
        <xdr:cNvPicPr preferRelativeResize="0"/>
      </xdr:nvPicPr>
      <xdr:blipFill>
        <a:blip cstate="print" r:embed="rId9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857250" cy="857250"/>
    <xdr:pic>
      <xdr:nvPicPr>
        <xdr:cNvPr id="0" name="image564.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xdr:row>
      <xdr:rowOff>0</xdr:rowOff>
    </xdr:from>
    <xdr:ext cx="857250" cy="857250"/>
    <xdr:pic>
      <xdr:nvPicPr>
        <xdr:cNvPr id="0" name="image560.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1</xdr:row>
      <xdr:rowOff>0</xdr:rowOff>
    </xdr:from>
    <xdr:ext cx="857250" cy="857250"/>
    <xdr:pic>
      <xdr:nvPicPr>
        <xdr:cNvPr id="0" name="image557.png"/>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0</xdr:colOff>
      <xdr:row>1</xdr:row>
      <xdr:rowOff>0</xdr:rowOff>
    </xdr:from>
    <xdr:ext cx="857250" cy="857250"/>
    <xdr:pic>
      <xdr:nvPicPr>
        <xdr:cNvPr id="0" name="image561.png"/>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0</xdr:colOff>
      <xdr:row>1</xdr:row>
      <xdr:rowOff>0</xdr:rowOff>
    </xdr:from>
    <xdr:ext cx="857250" cy="857250"/>
    <xdr:pic>
      <xdr:nvPicPr>
        <xdr:cNvPr id="0" name="image56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xdr:row>
      <xdr:rowOff>0</xdr:rowOff>
    </xdr:from>
    <xdr:ext cx="857250" cy="857250"/>
    <xdr:pic>
      <xdr:nvPicPr>
        <xdr:cNvPr id="0" name="image562.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857250" cy="857250"/>
    <xdr:pic>
      <xdr:nvPicPr>
        <xdr:cNvPr id="0" name="image566.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0</xdr:colOff>
      <xdr:row>2</xdr:row>
      <xdr:rowOff>0</xdr:rowOff>
    </xdr:from>
    <xdr:ext cx="857250" cy="857250"/>
    <xdr:pic>
      <xdr:nvPicPr>
        <xdr:cNvPr id="0" name="image576.png"/>
        <xdr:cNvPicPr preferRelativeResize="0"/>
      </xdr:nvPicPr>
      <xdr:blipFill>
        <a:blip cstate="print" r:embed="rId8"/>
        <a:stretch>
          <a:fillRect/>
        </a:stretch>
      </xdr:blipFill>
      <xdr:spPr>
        <a:prstGeom prst="rect">
          <a:avLst/>
        </a:prstGeom>
        <a:noFill/>
      </xdr:spPr>
    </xdr:pic>
    <xdr:clientData fLocksWithSheet="0"/>
  </xdr:oneCellAnchor>
  <xdr:oneCellAnchor>
    <xdr:from>
      <xdr:col>18</xdr:col>
      <xdr:colOff>0</xdr:colOff>
      <xdr:row>2</xdr:row>
      <xdr:rowOff>0</xdr:rowOff>
    </xdr:from>
    <xdr:ext cx="857250" cy="857250"/>
    <xdr:pic>
      <xdr:nvPicPr>
        <xdr:cNvPr id="0" name="image563.png"/>
        <xdr:cNvPicPr preferRelativeResize="0"/>
      </xdr:nvPicPr>
      <xdr:blipFill>
        <a:blip cstate="print" r:embed="rId9"/>
        <a:stretch>
          <a:fillRect/>
        </a:stretch>
      </xdr:blipFill>
      <xdr:spPr>
        <a:prstGeom prst="rect">
          <a:avLst/>
        </a:prstGeom>
        <a:noFill/>
      </xdr:spPr>
    </xdr:pic>
    <xdr:clientData fLocksWithSheet="0"/>
  </xdr:oneCellAnchor>
  <xdr:oneCellAnchor>
    <xdr:from>
      <xdr:col>24</xdr:col>
      <xdr:colOff>0</xdr:colOff>
      <xdr:row>2</xdr:row>
      <xdr:rowOff>0</xdr:rowOff>
    </xdr:from>
    <xdr:ext cx="857250" cy="857250"/>
    <xdr:pic>
      <xdr:nvPicPr>
        <xdr:cNvPr id="0" name="image573.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xdr:row>
      <xdr:rowOff>0</xdr:rowOff>
    </xdr:from>
    <xdr:ext cx="857250" cy="857250"/>
    <xdr:pic>
      <xdr:nvPicPr>
        <xdr:cNvPr id="0" name="image568.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3</xdr:row>
      <xdr:rowOff>0</xdr:rowOff>
    </xdr:from>
    <xdr:ext cx="857250" cy="857250"/>
    <xdr:pic>
      <xdr:nvPicPr>
        <xdr:cNvPr id="0" name="image569.png"/>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0</xdr:colOff>
      <xdr:row>3</xdr:row>
      <xdr:rowOff>0</xdr:rowOff>
    </xdr:from>
    <xdr:ext cx="857250" cy="857250"/>
    <xdr:pic>
      <xdr:nvPicPr>
        <xdr:cNvPr id="0" name="image582.png"/>
        <xdr:cNvPicPr preferRelativeResize="0"/>
      </xdr:nvPicPr>
      <xdr:blipFill>
        <a:blip cstate="print" r:embed="rId13"/>
        <a:stretch>
          <a:fillRect/>
        </a:stretch>
      </xdr:blipFill>
      <xdr:spPr>
        <a:prstGeom prst="rect">
          <a:avLst/>
        </a:prstGeom>
        <a:noFill/>
      </xdr:spPr>
    </xdr:pic>
    <xdr:clientData fLocksWithSheet="0"/>
  </xdr:oneCellAnchor>
  <xdr:oneCellAnchor>
    <xdr:from>
      <xdr:col>18</xdr:col>
      <xdr:colOff>0</xdr:colOff>
      <xdr:row>3</xdr:row>
      <xdr:rowOff>0</xdr:rowOff>
    </xdr:from>
    <xdr:ext cx="857250" cy="857250"/>
    <xdr:pic>
      <xdr:nvPicPr>
        <xdr:cNvPr id="0" name="image572.png"/>
        <xdr:cNvPicPr preferRelativeResize="0"/>
      </xdr:nvPicPr>
      <xdr:blipFill>
        <a:blip cstate="print" r:embed="rId14"/>
        <a:stretch>
          <a:fillRect/>
        </a:stretch>
      </xdr:blipFill>
      <xdr:spPr>
        <a:prstGeom prst="rect">
          <a:avLst/>
        </a:prstGeom>
        <a:noFill/>
      </xdr:spPr>
    </xdr:pic>
    <xdr:clientData fLocksWithSheet="0"/>
  </xdr:oneCellAnchor>
  <xdr:oneCellAnchor>
    <xdr:from>
      <xdr:col>24</xdr:col>
      <xdr:colOff>0</xdr:colOff>
      <xdr:row>3</xdr:row>
      <xdr:rowOff>0</xdr:rowOff>
    </xdr:from>
    <xdr:ext cx="857250" cy="857250"/>
    <xdr:pic>
      <xdr:nvPicPr>
        <xdr:cNvPr id="0" name="image578.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4</xdr:row>
      <xdr:rowOff>0</xdr:rowOff>
    </xdr:from>
    <xdr:ext cx="857250" cy="857250"/>
    <xdr:pic>
      <xdr:nvPicPr>
        <xdr:cNvPr id="0" name="image574.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4</xdr:row>
      <xdr:rowOff>0</xdr:rowOff>
    </xdr:from>
    <xdr:ext cx="857250" cy="857250"/>
    <xdr:pic>
      <xdr:nvPicPr>
        <xdr:cNvPr id="0" name="image571.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0</xdr:colOff>
      <xdr:row>4</xdr:row>
      <xdr:rowOff>0</xdr:rowOff>
    </xdr:from>
    <xdr:ext cx="857250" cy="857250"/>
    <xdr:pic>
      <xdr:nvPicPr>
        <xdr:cNvPr id="0" name="image570.png"/>
        <xdr:cNvPicPr preferRelativeResize="0"/>
      </xdr:nvPicPr>
      <xdr:blipFill>
        <a:blip cstate="print" r:embed="rId18"/>
        <a:stretch>
          <a:fillRect/>
        </a:stretch>
      </xdr:blipFill>
      <xdr:spPr>
        <a:prstGeom prst="rect">
          <a:avLst/>
        </a:prstGeom>
        <a:noFill/>
      </xdr:spPr>
    </xdr:pic>
    <xdr:clientData fLocksWithSheet="0"/>
  </xdr:oneCellAnchor>
  <xdr:oneCellAnchor>
    <xdr:from>
      <xdr:col>18</xdr:col>
      <xdr:colOff>0</xdr:colOff>
      <xdr:row>4</xdr:row>
      <xdr:rowOff>0</xdr:rowOff>
    </xdr:from>
    <xdr:ext cx="866775" cy="857250"/>
    <xdr:pic>
      <xdr:nvPicPr>
        <xdr:cNvPr id="0" name="image605.png"/>
        <xdr:cNvPicPr preferRelativeResize="0"/>
      </xdr:nvPicPr>
      <xdr:blipFill>
        <a:blip cstate="print" r:embed="rId19"/>
        <a:stretch>
          <a:fillRect/>
        </a:stretch>
      </xdr:blipFill>
      <xdr:spPr>
        <a:prstGeom prst="rect">
          <a:avLst/>
        </a:prstGeom>
        <a:noFill/>
      </xdr:spPr>
    </xdr:pic>
    <xdr:clientData fLocksWithSheet="0"/>
  </xdr:oneCellAnchor>
  <xdr:oneCellAnchor>
    <xdr:from>
      <xdr:col>24</xdr:col>
      <xdr:colOff>0</xdr:colOff>
      <xdr:row>4</xdr:row>
      <xdr:rowOff>0</xdr:rowOff>
    </xdr:from>
    <xdr:ext cx="857250" cy="857250"/>
    <xdr:pic>
      <xdr:nvPicPr>
        <xdr:cNvPr id="0" name="image580.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5</xdr:row>
      <xdr:rowOff>0</xdr:rowOff>
    </xdr:from>
    <xdr:ext cx="857250" cy="857250"/>
    <xdr:pic>
      <xdr:nvPicPr>
        <xdr:cNvPr id="0" name="image575.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5</xdr:row>
      <xdr:rowOff>0</xdr:rowOff>
    </xdr:from>
    <xdr:ext cx="857250" cy="857250"/>
    <xdr:pic>
      <xdr:nvPicPr>
        <xdr:cNvPr id="0" name="image581.png"/>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0</xdr:colOff>
      <xdr:row>5</xdr:row>
      <xdr:rowOff>0</xdr:rowOff>
    </xdr:from>
    <xdr:ext cx="857250" cy="857250"/>
    <xdr:pic>
      <xdr:nvPicPr>
        <xdr:cNvPr id="0" name="image600.png"/>
        <xdr:cNvPicPr preferRelativeResize="0"/>
      </xdr:nvPicPr>
      <xdr:blipFill>
        <a:blip cstate="print" r:embed="rId23"/>
        <a:stretch>
          <a:fillRect/>
        </a:stretch>
      </xdr:blipFill>
      <xdr:spPr>
        <a:prstGeom prst="rect">
          <a:avLst/>
        </a:prstGeom>
        <a:noFill/>
      </xdr:spPr>
    </xdr:pic>
    <xdr:clientData fLocksWithSheet="0"/>
  </xdr:oneCellAnchor>
  <xdr:oneCellAnchor>
    <xdr:from>
      <xdr:col>18</xdr:col>
      <xdr:colOff>0</xdr:colOff>
      <xdr:row>5</xdr:row>
      <xdr:rowOff>0</xdr:rowOff>
    </xdr:from>
    <xdr:ext cx="857250" cy="857250"/>
    <xdr:pic>
      <xdr:nvPicPr>
        <xdr:cNvPr id="0" name="image577.png"/>
        <xdr:cNvPicPr preferRelativeResize="0"/>
      </xdr:nvPicPr>
      <xdr:blipFill>
        <a:blip cstate="print" r:embed="rId24"/>
        <a:stretch>
          <a:fillRect/>
        </a:stretch>
      </xdr:blipFill>
      <xdr:spPr>
        <a:prstGeom prst="rect">
          <a:avLst/>
        </a:prstGeom>
        <a:noFill/>
      </xdr:spPr>
    </xdr:pic>
    <xdr:clientData fLocksWithSheet="0"/>
  </xdr:oneCellAnchor>
  <xdr:oneCellAnchor>
    <xdr:from>
      <xdr:col>24</xdr:col>
      <xdr:colOff>0</xdr:colOff>
      <xdr:row>5</xdr:row>
      <xdr:rowOff>0</xdr:rowOff>
    </xdr:from>
    <xdr:ext cx="857250" cy="857250"/>
    <xdr:pic>
      <xdr:nvPicPr>
        <xdr:cNvPr id="0" name="image579.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6</xdr:row>
      <xdr:rowOff>0</xdr:rowOff>
    </xdr:from>
    <xdr:ext cx="857250" cy="857250"/>
    <xdr:pic>
      <xdr:nvPicPr>
        <xdr:cNvPr id="0" name="image587.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6</xdr:row>
      <xdr:rowOff>0</xdr:rowOff>
    </xdr:from>
    <xdr:ext cx="857250" cy="857250"/>
    <xdr:pic>
      <xdr:nvPicPr>
        <xdr:cNvPr id="0" name="image583.png"/>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0</xdr:colOff>
      <xdr:row>6</xdr:row>
      <xdr:rowOff>0</xdr:rowOff>
    </xdr:from>
    <xdr:ext cx="857250" cy="857250"/>
    <xdr:pic>
      <xdr:nvPicPr>
        <xdr:cNvPr id="0" name="image588.png"/>
        <xdr:cNvPicPr preferRelativeResize="0"/>
      </xdr:nvPicPr>
      <xdr:blipFill>
        <a:blip cstate="print" r:embed="rId28"/>
        <a:stretch>
          <a:fillRect/>
        </a:stretch>
      </xdr:blipFill>
      <xdr:spPr>
        <a:prstGeom prst="rect">
          <a:avLst/>
        </a:prstGeom>
        <a:noFill/>
      </xdr:spPr>
    </xdr:pic>
    <xdr:clientData fLocksWithSheet="0"/>
  </xdr:oneCellAnchor>
  <xdr:oneCellAnchor>
    <xdr:from>
      <xdr:col>18</xdr:col>
      <xdr:colOff>0</xdr:colOff>
      <xdr:row>6</xdr:row>
      <xdr:rowOff>0</xdr:rowOff>
    </xdr:from>
    <xdr:ext cx="857250" cy="857250"/>
    <xdr:pic>
      <xdr:nvPicPr>
        <xdr:cNvPr id="0" name="image597.png"/>
        <xdr:cNvPicPr preferRelativeResize="0"/>
      </xdr:nvPicPr>
      <xdr:blipFill>
        <a:blip cstate="print" r:embed="rId29"/>
        <a:stretch>
          <a:fillRect/>
        </a:stretch>
      </xdr:blipFill>
      <xdr:spPr>
        <a:prstGeom prst="rect">
          <a:avLst/>
        </a:prstGeom>
        <a:noFill/>
      </xdr:spPr>
    </xdr:pic>
    <xdr:clientData fLocksWithSheet="0"/>
  </xdr:oneCellAnchor>
  <xdr:oneCellAnchor>
    <xdr:from>
      <xdr:col>24</xdr:col>
      <xdr:colOff>0</xdr:colOff>
      <xdr:row>6</xdr:row>
      <xdr:rowOff>0</xdr:rowOff>
    </xdr:from>
    <xdr:ext cx="857250" cy="857250"/>
    <xdr:pic>
      <xdr:nvPicPr>
        <xdr:cNvPr id="0" name="image603.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7</xdr:row>
      <xdr:rowOff>0</xdr:rowOff>
    </xdr:from>
    <xdr:ext cx="857250" cy="857250"/>
    <xdr:pic>
      <xdr:nvPicPr>
        <xdr:cNvPr id="0" name="image584.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7</xdr:row>
      <xdr:rowOff>0</xdr:rowOff>
    </xdr:from>
    <xdr:ext cx="857250" cy="857250"/>
    <xdr:pic>
      <xdr:nvPicPr>
        <xdr:cNvPr id="0" name="image594.png"/>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0</xdr:colOff>
      <xdr:row>7</xdr:row>
      <xdr:rowOff>0</xdr:rowOff>
    </xdr:from>
    <xdr:ext cx="857250" cy="857250"/>
    <xdr:pic>
      <xdr:nvPicPr>
        <xdr:cNvPr id="0" name="image585.png"/>
        <xdr:cNvPicPr preferRelativeResize="0"/>
      </xdr:nvPicPr>
      <xdr:blipFill>
        <a:blip cstate="print" r:embed="rId33"/>
        <a:stretch>
          <a:fillRect/>
        </a:stretch>
      </xdr:blipFill>
      <xdr:spPr>
        <a:prstGeom prst="rect">
          <a:avLst/>
        </a:prstGeom>
        <a:noFill/>
      </xdr:spPr>
    </xdr:pic>
    <xdr:clientData fLocksWithSheet="0"/>
  </xdr:oneCellAnchor>
  <xdr:oneCellAnchor>
    <xdr:from>
      <xdr:col>18</xdr:col>
      <xdr:colOff>0</xdr:colOff>
      <xdr:row>7</xdr:row>
      <xdr:rowOff>0</xdr:rowOff>
    </xdr:from>
    <xdr:ext cx="857250" cy="857250"/>
    <xdr:pic>
      <xdr:nvPicPr>
        <xdr:cNvPr id="0" name="image586.png"/>
        <xdr:cNvPicPr preferRelativeResize="0"/>
      </xdr:nvPicPr>
      <xdr:blipFill>
        <a:blip cstate="print" r:embed="rId34"/>
        <a:stretch>
          <a:fillRect/>
        </a:stretch>
      </xdr:blipFill>
      <xdr:spPr>
        <a:prstGeom prst="rect">
          <a:avLst/>
        </a:prstGeom>
        <a:noFill/>
      </xdr:spPr>
    </xdr:pic>
    <xdr:clientData fLocksWithSheet="0"/>
  </xdr:oneCellAnchor>
  <xdr:oneCellAnchor>
    <xdr:from>
      <xdr:col>24</xdr:col>
      <xdr:colOff>0</xdr:colOff>
      <xdr:row>7</xdr:row>
      <xdr:rowOff>0</xdr:rowOff>
    </xdr:from>
    <xdr:ext cx="857250" cy="857250"/>
    <xdr:pic>
      <xdr:nvPicPr>
        <xdr:cNvPr id="0" name="image589.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8</xdr:row>
      <xdr:rowOff>0</xdr:rowOff>
    </xdr:from>
    <xdr:ext cx="857250" cy="857250"/>
    <xdr:pic>
      <xdr:nvPicPr>
        <xdr:cNvPr id="0" name="image598.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8</xdr:row>
      <xdr:rowOff>0</xdr:rowOff>
    </xdr:from>
    <xdr:ext cx="857250" cy="857250"/>
    <xdr:pic>
      <xdr:nvPicPr>
        <xdr:cNvPr id="0" name="image596.png"/>
        <xdr:cNvPicPr preferRelativeResize="0"/>
      </xdr:nvPicPr>
      <xdr:blipFill>
        <a:blip cstate="print" r:embed="rId37"/>
        <a:stretch>
          <a:fillRect/>
        </a:stretch>
      </xdr:blipFill>
      <xdr:spPr>
        <a:prstGeom prst="rect">
          <a:avLst/>
        </a:prstGeom>
        <a:noFill/>
      </xdr:spPr>
    </xdr:pic>
    <xdr:clientData fLocksWithSheet="0"/>
  </xdr:oneCellAnchor>
  <xdr:oneCellAnchor>
    <xdr:from>
      <xdr:col>12</xdr:col>
      <xdr:colOff>0</xdr:colOff>
      <xdr:row>8</xdr:row>
      <xdr:rowOff>0</xdr:rowOff>
    </xdr:from>
    <xdr:ext cx="857250" cy="857250"/>
    <xdr:pic>
      <xdr:nvPicPr>
        <xdr:cNvPr id="0" name="image593.png"/>
        <xdr:cNvPicPr preferRelativeResize="0"/>
      </xdr:nvPicPr>
      <xdr:blipFill>
        <a:blip cstate="print" r:embed="rId38"/>
        <a:stretch>
          <a:fillRect/>
        </a:stretch>
      </xdr:blipFill>
      <xdr:spPr>
        <a:prstGeom prst="rect">
          <a:avLst/>
        </a:prstGeom>
        <a:noFill/>
      </xdr:spPr>
    </xdr:pic>
    <xdr:clientData fLocksWithSheet="0"/>
  </xdr:oneCellAnchor>
  <xdr:oneCellAnchor>
    <xdr:from>
      <xdr:col>18</xdr:col>
      <xdr:colOff>0</xdr:colOff>
      <xdr:row>8</xdr:row>
      <xdr:rowOff>0</xdr:rowOff>
    </xdr:from>
    <xdr:ext cx="866775" cy="857250"/>
    <xdr:pic>
      <xdr:nvPicPr>
        <xdr:cNvPr id="0" name="image590.png"/>
        <xdr:cNvPicPr preferRelativeResize="0"/>
      </xdr:nvPicPr>
      <xdr:blipFill>
        <a:blip cstate="print" r:embed="rId39"/>
        <a:stretch>
          <a:fillRect/>
        </a:stretch>
      </xdr:blipFill>
      <xdr:spPr>
        <a:prstGeom prst="rect">
          <a:avLst/>
        </a:prstGeom>
        <a:noFill/>
      </xdr:spPr>
    </xdr:pic>
    <xdr:clientData fLocksWithSheet="0"/>
  </xdr:oneCellAnchor>
  <xdr:oneCellAnchor>
    <xdr:from>
      <xdr:col>24</xdr:col>
      <xdr:colOff>0</xdr:colOff>
      <xdr:row>8</xdr:row>
      <xdr:rowOff>0</xdr:rowOff>
    </xdr:from>
    <xdr:ext cx="857250" cy="857250"/>
    <xdr:pic>
      <xdr:nvPicPr>
        <xdr:cNvPr id="0" name="image595.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9</xdr:row>
      <xdr:rowOff>0</xdr:rowOff>
    </xdr:from>
    <xdr:ext cx="857250" cy="857250"/>
    <xdr:pic>
      <xdr:nvPicPr>
        <xdr:cNvPr id="0" name="image592.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9</xdr:row>
      <xdr:rowOff>0</xdr:rowOff>
    </xdr:from>
    <xdr:ext cx="857250" cy="857250"/>
    <xdr:pic>
      <xdr:nvPicPr>
        <xdr:cNvPr id="0" name="image602.png"/>
        <xdr:cNvPicPr preferRelativeResize="0"/>
      </xdr:nvPicPr>
      <xdr:blipFill>
        <a:blip cstate="print" r:embed="rId42"/>
        <a:stretch>
          <a:fillRect/>
        </a:stretch>
      </xdr:blipFill>
      <xdr:spPr>
        <a:prstGeom prst="rect">
          <a:avLst/>
        </a:prstGeom>
        <a:noFill/>
      </xdr:spPr>
    </xdr:pic>
    <xdr:clientData fLocksWithSheet="0"/>
  </xdr:oneCellAnchor>
  <xdr:oneCellAnchor>
    <xdr:from>
      <xdr:col>12</xdr:col>
      <xdr:colOff>0</xdr:colOff>
      <xdr:row>9</xdr:row>
      <xdr:rowOff>0</xdr:rowOff>
    </xdr:from>
    <xdr:ext cx="857250" cy="857250"/>
    <xdr:pic>
      <xdr:nvPicPr>
        <xdr:cNvPr id="0" name="image591.png"/>
        <xdr:cNvPicPr preferRelativeResize="0"/>
      </xdr:nvPicPr>
      <xdr:blipFill>
        <a:blip cstate="print" r:embed="rId43"/>
        <a:stretch>
          <a:fillRect/>
        </a:stretch>
      </xdr:blipFill>
      <xdr:spPr>
        <a:prstGeom prst="rect">
          <a:avLst/>
        </a:prstGeom>
        <a:noFill/>
      </xdr:spPr>
    </xdr:pic>
    <xdr:clientData fLocksWithSheet="0"/>
  </xdr:oneCellAnchor>
  <xdr:oneCellAnchor>
    <xdr:from>
      <xdr:col>18</xdr:col>
      <xdr:colOff>0</xdr:colOff>
      <xdr:row>9</xdr:row>
      <xdr:rowOff>0</xdr:rowOff>
    </xdr:from>
    <xdr:ext cx="857250" cy="857250"/>
    <xdr:pic>
      <xdr:nvPicPr>
        <xdr:cNvPr id="0" name="image607.png"/>
        <xdr:cNvPicPr preferRelativeResize="0"/>
      </xdr:nvPicPr>
      <xdr:blipFill>
        <a:blip cstate="print" r:embed="rId44"/>
        <a:stretch>
          <a:fillRect/>
        </a:stretch>
      </xdr:blipFill>
      <xdr:spPr>
        <a:prstGeom prst="rect">
          <a:avLst/>
        </a:prstGeom>
        <a:noFill/>
      </xdr:spPr>
    </xdr:pic>
    <xdr:clientData fLocksWithSheet="0"/>
  </xdr:oneCellAnchor>
  <xdr:oneCellAnchor>
    <xdr:from>
      <xdr:col>24</xdr:col>
      <xdr:colOff>0</xdr:colOff>
      <xdr:row>9</xdr:row>
      <xdr:rowOff>0</xdr:rowOff>
    </xdr:from>
    <xdr:ext cx="857250" cy="857250"/>
    <xdr:pic>
      <xdr:nvPicPr>
        <xdr:cNvPr id="0" name="image615.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10</xdr:row>
      <xdr:rowOff>0</xdr:rowOff>
    </xdr:from>
    <xdr:ext cx="857250" cy="857250"/>
    <xdr:pic>
      <xdr:nvPicPr>
        <xdr:cNvPr id="0" name="image611.png"/>
        <xdr:cNvPicPr preferRelativeResize="0"/>
      </xdr:nvPicPr>
      <xdr:blipFill>
        <a:blip cstate="print" r:embed="rId46"/>
        <a:stretch>
          <a:fillRect/>
        </a:stretch>
      </xdr:blipFill>
      <xdr:spPr>
        <a:prstGeom prst="rect">
          <a:avLst/>
        </a:prstGeom>
        <a:noFill/>
      </xdr:spPr>
    </xdr:pic>
    <xdr:clientData fLocksWithSheet="0"/>
  </xdr:oneCellAnchor>
  <xdr:oneCellAnchor>
    <xdr:from>
      <xdr:col>6</xdr:col>
      <xdr:colOff>0</xdr:colOff>
      <xdr:row>10</xdr:row>
      <xdr:rowOff>0</xdr:rowOff>
    </xdr:from>
    <xdr:ext cx="857250" cy="857250"/>
    <xdr:pic>
      <xdr:nvPicPr>
        <xdr:cNvPr id="0" name="image601.png"/>
        <xdr:cNvPicPr preferRelativeResize="0"/>
      </xdr:nvPicPr>
      <xdr:blipFill>
        <a:blip cstate="print" r:embed="rId47"/>
        <a:stretch>
          <a:fillRect/>
        </a:stretch>
      </xdr:blipFill>
      <xdr:spPr>
        <a:prstGeom prst="rect">
          <a:avLst/>
        </a:prstGeom>
        <a:noFill/>
      </xdr:spPr>
    </xdr:pic>
    <xdr:clientData fLocksWithSheet="0"/>
  </xdr:oneCellAnchor>
  <xdr:oneCellAnchor>
    <xdr:from>
      <xdr:col>12</xdr:col>
      <xdr:colOff>0</xdr:colOff>
      <xdr:row>10</xdr:row>
      <xdr:rowOff>0</xdr:rowOff>
    </xdr:from>
    <xdr:ext cx="857250" cy="857250"/>
    <xdr:pic>
      <xdr:nvPicPr>
        <xdr:cNvPr id="0" name="image599.png"/>
        <xdr:cNvPicPr preferRelativeResize="0"/>
      </xdr:nvPicPr>
      <xdr:blipFill>
        <a:blip cstate="print" r:embed="rId48"/>
        <a:stretch>
          <a:fillRect/>
        </a:stretch>
      </xdr:blipFill>
      <xdr:spPr>
        <a:prstGeom prst="rect">
          <a:avLst/>
        </a:prstGeom>
        <a:noFill/>
      </xdr:spPr>
    </xdr:pic>
    <xdr:clientData fLocksWithSheet="0"/>
  </xdr:oneCellAnchor>
  <xdr:oneCellAnchor>
    <xdr:from>
      <xdr:col>18</xdr:col>
      <xdr:colOff>0</xdr:colOff>
      <xdr:row>10</xdr:row>
      <xdr:rowOff>0</xdr:rowOff>
    </xdr:from>
    <xdr:ext cx="866775" cy="857250"/>
    <xdr:pic>
      <xdr:nvPicPr>
        <xdr:cNvPr id="0" name="image604.png"/>
        <xdr:cNvPicPr preferRelativeResize="0"/>
      </xdr:nvPicPr>
      <xdr:blipFill>
        <a:blip cstate="print" r:embed="rId49"/>
        <a:stretch>
          <a:fillRect/>
        </a:stretch>
      </xdr:blipFill>
      <xdr:spPr>
        <a:prstGeom prst="rect">
          <a:avLst/>
        </a:prstGeom>
        <a:noFill/>
      </xdr:spPr>
    </xdr:pic>
    <xdr:clientData fLocksWithSheet="0"/>
  </xdr:oneCellAnchor>
  <xdr:oneCellAnchor>
    <xdr:from>
      <xdr:col>24</xdr:col>
      <xdr:colOff>0</xdr:colOff>
      <xdr:row>10</xdr:row>
      <xdr:rowOff>0</xdr:rowOff>
    </xdr:from>
    <xdr:ext cx="857250" cy="857250"/>
    <xdr:pic>
      <xdr:nvPicPr>
        <xdr:cNvPr id="0" name="image612.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11</xdr:row>
      <xdr:rowOff>0</xdr:rowOff>
    </xdr:from>
    <xdr:ext cx="857250" cy="857250"/>
    <xdr:pic>
      <xdr:nvPicPr>
        <xdr:cNvPr id="0" name="image609.png"/>
        <xdr:cNvPicPr preferRelativeResize="0"/>
      </xdr:nvPicPr>
      <xdr:blipFill>
        <a:blip cstate="print" r:embed="rId51"/>
        <a:stretch>
          <a:fillRect/>
        </a:stretch>
      </xdr:blipFill>
      <xdr:spPr>
        <a:prstGeom prst="rect">
          <a:avLst/>
        </a:prstGeom>
        <a:noFill/>
      </xdr:spPr>
    </xdr:pic>
    <xdr:clientData fLocksWithSheet="0"/>
  </xdr:oneCellAnchor>
  <xdr:oneCellAnchor>
    <xdr:from>
      <xdr:col>6</xdr:col>
      <xdr:colOff>0</xdr:colOff>
      <xdr:row>11</xdr:row>
      <xdr:rowOff>0</xdr:rowOff>
    </xdr:from>
    <xdr:ext cx="857250" cy="857250"/>
    <xdr:pic>
      <xdr:nvPicPr>
        <xdr:cNvPr id="0" name="image613.png"/>
        <xdr:cNvPicPr preferRelativeResize="0"/>
      </xdr:nvPicPr>
      <xdr:blipFill>
        <a:blip cstate="print" r:embed="rId52"/>
        <a:stretch>
          <a:fillRect/>
        </a:stretch>
      </xdr:blipFill>
      <xdr:spPr>
        <a:prstGeom prst="rect">
          <a:avLst/>
        </a:prstGeom>
        <a:noFill/>
      </xdr:spPr>
    </xdr:pic>
    <xdr:clientData fLocksWithSheet="0"/>
  </xdr:oneCellAnchor>
  <xdr:oneCellAnchor>
    <xdr:from>
      <xdr:col>12</xdr:col>
      <xdr:colOff>0</xdr:colOff>
      <xdr:row>11</xdr:row>
      <xdr:rowOff>0</xdr:rowOff>
    </xdr:from>
    <xdr:ext cx="857250" cy="857250"/>
    <xdr:pic>
      <xdr:nvPicPr>
        <xdr:cNvPr id="0" name="image606.png"/>
        <xdr:cNvPicPr preferRelativeResize="0"/>
      </xdr:nvPicPr>
      <xdr:blipFill>
        <a:blip cstate="print" r:embed="rId53"/>
        <a:stretch>
          <a:fillRect/>
        </a:stretch>
      </xdr:blipFill>
      <xdr:spPr>
        <a:prstGeom prst="rect">
          <a:avLst/>
        </a:prstGeom>
        <a:noFill/>
      </xdr:spPr>
    </xdr:pic>
    <xdr:clientData fLocksWithSheet="0"/>
  </xdr:oneCellAnchor>
  <xdr:oneCellAnchor>
    <xdr:from>
      <xdr:col>18</xdr:col>
      <xdr:colOff>0</xdr:colOff>
      <xdr:row>11</xdr:row>
      <xdr:rowOff>0</xdr:rowOff>
    </xdr:from>
    <xdr:ext cx="857250" cy="857250"/>
    <xdr:pic>
      <xdr:nvPicPr>
        <xdr:cNvPr id="0" name="image608.png"/>
        <xdr:cNvPicPr preferRelativeResize="0"/>
      </xdr:nvPicPr>
      <xdr:blipFill>
        <a:blip cstate="print" r:embed="rId54"/>
        <a:stretch>
          <a:fillRect/>
        </a:stretch>
      </xdr:blipFill>
      <xdr:spPr>
        <a:prstGeom prst="rect">
          <a:avLst/>
        </a:prstGeom>
        <a:noFill/>
      </xdr:spPr>
    </xdr:pic>
    <xdr:clientData fLocksWithSheet="0"/>
  </xdr:oneCellAnchor>
  <xdr:oneCellAnchor>
    <xdr:from>
      <xdr:col>24</xdr:col>
      <xdr:colOff>0</xdr:colOff>
      <xdr:row>11</xdr:row>
      <xdr:rowOff>0</xdr:rowOff>
    </xdr:from>
    <xdr:ext cx="857250" cy="857250"/>
    <xdr:pic>
      <xdr:nvPicPr>
        <xdr:cNvPr id="0" name="image617.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12</xdr:row>
      <xdr:rowOff>0</xdr:rowOff>
    </xdr:from>
    <xdr:ext cx="857250" cy="857250"/>
    <xdr:pic>
      <xdr:nvPicPr>
        <xdr:cNvPr id="0" name="image643.png"/>
        <xdr:cNvPicPr preferRelativeResize="0"/>
      </xdr:nvPicPr>
      <xdr:blipFill>
        <a:blip cstate="print" r:embed="rId56"/>
        <a:stretch>
          <a:fillRect/>
        </a:stretch>
      </xdr:blipFill>
      <xdr:spPr>
        <a:prstGeom prst="rect">
          <a:avLst/>
        </a:prstGeom>
        <a:noFill/>
      </xdr:spPr>
    </xdr:pic>
    <xdr:clientData fLocksWithSheet="0"/>
  </xdr:oneCellAnchor>
  <xdr:oneCellAnchor>
    <xdr:from>
      <xdr:col>6</xdr:col>
      <xdr:colOff>0</xdr:colOff>
      <xdr:row>12</xdr:row>
      <xdr:rowOff>0</xdr:rowOff>
    </xdr:from>
    <xdr:ext cx="857250" cy="857250"/>
    <xdr:pic>
      <xdr:nvPicPr>
        <xdr:cNvPr id="0" name="image616.png"/>
        <xdr:cNvPicPr preferRelativeResize="0"/>
      </xdr:nvPicPr>
      <xdr:blipFill>
        <a:blip cstate="print" r:embed="rId57"/>
        <a:stretch>
          <a:fillRect/>
        </a:stretch>
      </xdr:blipFill>
      <xdr:spPr>
        <a:prstGeom prst="rect">
          <a:avLst/>
        </a:prstGeom>
        <a:noFill/>
      </xdr:spPr>
    </xdr:pic>
    <xdr:clientData fLocksWithSheet="0"/>
  </xdr:oneCellAnchor>
  <xdr:oneCellAnchor>
    <xdr:from>
      <xdr:col>12</xdr:col>
      <xdr:colOff>0</xdr:colOff>
      <xdr:row>12</xdr:row>
      <xdr:rowOff>0</xdr:rowOff>
    </xdr:from>
    <xdr:ext cx="857250" cy="857250"/>
    <xdr:pic>
      <xdr:nvPicPr>
        <xdr:cNvPr id="0" name="image627.png"/>
        <xdr:cNvPicPr preferRelativeResize="0"/>
      </xdr:nvPicPr>
      <xdr:blipFill>
        <a:blip cstate="print" r:embed="rId58"/>
        <a:stretch>
          <a:fillRect/>
        </a:stretch>
      </xdr:blipFill>
      <xdr:spPr>
        <a:prstGeom prst="rect">
          <a:avLst/>
        </a:prstGeom>
        <a:noFill/>
      </xdr:spPr>
    </xdr:pic>
    <xdr:clientData fLocksWithSheet="0"/>
  </xdr:oneCellAnchor>
  <xdr:oneCellAnchor>
    <xdr:from>
      <xdr:col>18</xdr:col>
      <xdr:colOff>0</xdr:colOff>
      <xdr:row>12</xdr:row>
      <xdr:rowOff>0</xdr:rowOff>
    </xdr:from>
    <xdr:ext cx="857250" cy="857250"/>
    <xdr:pic>
      <xdr:nvPicPr>
        <xdr:cNvPr id="0" name="image614.png"/>
        <xdr:cNvPicPr preferRelativeResize="0"/>
      </xdr:nvPicPr>
      <xdr:blipFill>
        <a:blip cstate="print" r:embed="rId59"/>
        <a:stretch>
          <a:fillRect/>
        </a:stretch>
      </xdr:blipFill>
      <xdr:spPr>
        <a:prstGeom prst="rect">
          <a:avLst/>
        </a:prstGeom>
        <a:noFill/>
      </xdr:spPr>
    </xdr:pic>
    <xdr:clientData fLocksWithSheet="0"/>
  </xdr:oneCellAnchor>
  <xdr:oneCellAnchor>
    <xdr:from>
      <xdr:col>24</xdr:col>
      <xdr:colOff>0</xdr:colOff>
      <xdr:row>12</xdr:row>
      <xdr:rowOff>0</xdr:rowOff>
    </xdr:from>
    <xdr:ext cx="857250" cy="857250"/>
    <xdr:pic>
      <xdr:nvPicPr>
        <xdr:cNvPr id="0" name="image610.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13</xdr:row>
      <xdr:rowOff>0</xdr:rowOff>
    </xdr:from>
    <xdr:ext cx="857250" cy="857250"/>
    <xdr:pic>
      <xdr:nvPicPr>
        <xdr:cNvPr id="0" name="image619.png"/>
        <xdr:cNvPicPr preferRelativeResize="0"/>
      </xdr:nvPicPr>
      <xdr:blipFill>
        <a:blip cstate="print" r:embed="rId61"/>
        <a:stretch>
          <a:fillRect/>
        </a:stretch>
      </xdr:blipFill>
      <xdr:spPr>
        <a:prstGeom prst="rect">
          <a:avLst/>
        </a:prstGeom>
        <a:noFill/>
      </xdr:spPr>
    </xdr:pic>
    <xdr:clientData fLocksWithSheet="0"/>
  </xdr:oneCellAnchor>
  <xdr:oneCellAnchor>
    <xdr:from>
      <xdr:col>6</xdr:col>
      <xdr:colOff>0</xdr:colOff>
      <xdr:row>13</xdr:row>
      <xdr:rowOff>0</xdr:rowOff>
    </xdr:from>
    <xdr:ext cx="857250" cy="857250"/>
    <xdr:pic>
      <xdr:nvPicPr>
        <xdr:cNvPr id="0" name="image618.png"/>
        <xdr:cNvPicPr preferRelativeResize="0"/>
      </xdr:nvPicPr>
      <xdr:blipFill>
        <a:blip cstate="print" r:embed="rId62"/>
        <a:stretch>
          <a:fillRect/>
        </a:stretch>
      </xdr:blipFill>
      <xdr:spPr>
        <a:prstGeom prst="rect">
          <a:avLst/>
        </a:prstGeom>
        <a:noFill/>
      </xdr:spPr>
    </xdr:pic>
    <xdr:clientData fLocksWithSheet="0"/>
  </xdr:oneCellAnchor>
  <xdr:oneCellAnchor>
    <xdr:from>
      <xdr:col>12</xdr:col>
      <xdr:colOff>0</xdr:colOff>
      <xdr:row>13</xdr:row>
      <xdr:rowOff>0</xdr:rowOff>
    </xdr:from>
    <xdr:ext cx="857250" cy="857250"/>
    <xdr:pic>
      <xdr:nvPicPr>
        <xdr:cNvPr id="0" name="image620.png"/>
        <xdr:cNvPicPr preferRelativeResize="0"/>
      </xdr:nvPicPr>
      <xdr:blipFill>
        <a:blip cstate="print" r:embed="rId63"/>
        <a:stretch>
          <a:fillRect/>
        </a:stretch>
      </xdr:blipFill>
      <xdr:spPr>
        <a:prstGeom prst="rect">
          <a:avLst/>
        </a:prstGeom>
        <a:noFill/>
      </xdr:spPr>
    </xdr:pic>
    <xdr:clientData fLocksWithSheet="0"/>
  </xdr:oneCellAnchor>
  <xdr:oneCellAnchor>
    <xdr:from>
      <xdr:col>18</xdr:col>
      <xdr:colOff>0</xdr:colOff>
      <xdr:row>13</xdr:row>
      <xdr:rowOff>0</xdr:rowOff>
    </xdr:from>
    <xdr:ext cx="857250" cy="857250"/>
    <xdr:pic>
      <xdr:nvPicPr>
        <xdr:cNvPr id="0" name="image629.png"/>
        <xdr:cNvPicPr preferRelativeResize="0"/>
      </xdr:nvPicPr>
      <xdr:blipFill>
        <a:blip cstate="print" r:embed="rId64"/>
        <a:stretch>
          <a:fillRect/>
        </a:stretch>
      </xdr:blipFill>
      <xdr:spPr>
        <a:prstGeom prst="rect">
          <a:avLst/>
        </a:prstGeom>
        <a:noFill/>
      </xdr:spPr>
    </xdr:pic>
    <xdr:clientData fLocksWithSheet="0"/>
  </xdr:oneCellAnchor>
  <xdr:oneCellAnchor>
    <xdr:from>
      <xdr:col>24</xdr:col>
      <xdr:colOff>0</xdr:colOff>
      <xdr:row>13</xdr:row>
      <xdr:rowOff>0</xdr:rowOff>
    </xdr:from>
    <xdr:ext cx="857250" cy="857250"/>
    <xdr:pic>
      <xdr:nvPicPr>
        <xdr:cNvPr id="0" name="image625.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14</xdr:row>
      <xdr:rowOff>0</xdr:rowOff>
    </xdr:from>
    <xdr:ext cx="857250" cy="857250"/>
    <xdr:pic>
      <xdr:nvPicPr>
        <xdr:cNvPr id="0" name="image623.png"/>
        <xdr:cNvPicPr preferRelativeResize="0"/>
      </xdr:nvPicPr>
      <xdr:blipFill>
        <a:blip cstate="print" r:embed="rId66"/>
        <a:stretch>
          <a:fillRect/>
        </a:stretch>
      </xdr:blipFill>
      <xdr:spPr>
        <a:prstGeom prst="rect">
          <a:avLst/>
        </a:prstGeom>
        <a:noFill/>
      </xdr:spPr>
    </xdr:pic>
    <xdr:clientData fLocksWithSheet="0"/>
  </xdr:oneCellAnchor>
  <xdr:oneCellAnchor>
    <xdr:from>
      <xdr:col>6</xdr:col>
      <xdr:colOff>0</xdr:colOff>
      <xdr:row>14</xdr:row>
      <xdr:rowOff>0</xdr:rowOff>
    </xdr:from>
    <xdr:ext cx="857250" cy="857250"/>
    <xdr:pic>
      <xdr:nvPicPr>
        <xdr:cNvPr id="0" name="image624.png"/>
        <xdr:cNvPicPr preferRelativeResize="0"/>
      </xdr:nvPicPr>
      <xdr:blipFill>
        <a:blip cstate="print" r:embed="rId67"/>
        <a:stretch>
          <a:fillRect/>
        </a:stretch>
      </xdr:blipFill>
      <xdr:spPr>
        <a:prstGeom prst="rect">
          <a:avLst/>
        </a:prstGeom>
        <a:noFill/>
      </xdr:spPr>
    </xdr:pic>
    <xdr:clientData fLocksWithSheet="0"/>
  </xdr:oneCellAnchor>
  <xdr:oneCellAnchor>
    <xdr:from>
      <xdr:col>12</xdr:col>
      <xdr:colOff>0</xdr:colOff>
      <xdr:row>14</xdr:row>
      <xdr:rowOff>0</xdr:rowOff>
    </xdr:from>
    <xdr:ext cx="857250" cy="857250"/>
    <xdr:pic>
      <xdr:nvPicPr>
        <xdr:cNvPr id="0" name="image626.png"/>
        <xdr:cNvPicPr preferRelativeResize="0"/>
      </xdr:nvPicPr>
      <xdr:blipFill>
        <a:blip cstate="print" r:embed="rId68"/>
        <a:stretch>
          <a:fillRect/>
        </a:stretch>
      </xdr:blipFill>
      <xdr:spPr>
        <a:prstGeom prst="rect">
          <a:avLst/>
        </a:prstGeom>
        <a:noFill/>
      </xdr:spPr>
    </xdr:pic>
    <xdr:clientData fLocksWithSheet="0"/>
  </xdr:oneCellAnchor>
  <xdr:oneCellAnchor>
    <xdr:from>
      <xdr:col>18</xdr:col>
      <xdr:colOff>0</xdr:colOff>
      <xdr:row>14</xdr:row>
      <xdr:rowOff>0</xdr:rowOff>
    </xdr:from>
    <xdr:ext cx="857250" cy="857250"/>
    <xdr:pic>
      <xdr:nvPicPr>
        <xdr:cNvPr id="0" name="image622.png"/>
        <xdr:cNvPicPr preferRelativeResize="0"/>
      </xdr:nvPicPr>
      <xdr:blipFill>
        <a:blip cstate="print" r:embed="rId69"/>
        <a:stretch>
          <a:fillRect/>
        </a:stretch>
      </xdr:blipFill>
      <xdr:spPr>
        <a:prstGeom prst="rect">
          <a:avLst/>
        </a:prstGeom>
        <a:noFill/>
      </xdr:spPr>
    </xdr:pic>
    <xdr:clientData fLocksWithSheet="0"/>
  </xdr:oneCellAnchor>
  <xdr:oneCellAnchor>
    <xdr:from>
      <xdr:col>24</xdr:col>
      <xdr:colOff>0</xdr:colOff>
      <xdr:row>14</xdr:row>
      <xdr:rowOff>0</xdr:rowOff>
    </xdr:from>
    <xdr:ext cx="857250" cy="857250"/>
    <xdr:pic>
      <xdr:nvPicPr>
        <xdr:cNvPr id="0" name="image646.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15</xdr:row>
      <xdr:rowOff>0</xdr:rowOff>
    </xdr:from>
    <xdr:ext cx="857250" cy="857250"/>
    <xdr:pic>
      <xdr:nvPicPr>
        <xdr:cNvPr id="0" name="image621.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15</xdr:row>
      <xdr:rowOff>0</xdr:rowOff>
    </xdr:from>
    <xdr:ext cx="857250" cy="857250"/>
    <xdr:pic>
      <xdr:nvPicPr>
        <xdr:cNvPr id="0" name="image631.png"/>
        <xdr:cNvPicPr preferRelativeResize="0"/>
      </xdr:nvPicPr>
      <xdr:blipFill>
        <a:blip cstate="print" r:embed="rId72"/>
        <a:stretch>
          <a:fillRect/>
        </a:stretch>
      </xdr:blipFill>
      <xdr:spPr>
        <a:prstGeom prst="rect">
          <a:avLst/>
        </a:prstGeom>
        <a:noFill/>
      </xdr:spPr>
    </xdr:pic>
    <xdr:clientData fLocksWithSheet="0"/>
  </xdr:oneCellAnchor>
  <xdr:oneCellAnchor>
    <xdr:from>
      <xdr:col>12</xdr:col>
      <xdr:colOff>0</xdr:colOff>
      <xdr:row>15</xdr:row>
      <xdr:rowOff>0</xdr:rowOff>
    </xdr:from>
    <xdr:ext cx="857250" cy="857250"/>
    <xdr:pic>
      <xdr:nvPicPr>
        <xdr:cNvPr id="0" name="image630.png"/>
        <xdr:cNvPicPr preferRelativeResize="0"/>
      </xdr:nvPicPr>
      <xdr:blipFill>
        <a:blip cstate="print" r:embed="rId73"/>
        <a:stretch>
          <a:fillRect/>
        </a:stretch>
      </xdr:blipFill>
      <xdr:spPr>
        <a:prstGeom prst="rect">
          <a:avLst/>
        </a:prstGeom>
        <a:noFill/>
      </xdr:spPr>
    </xdr:pic>
    <xdr:clientData fLocksWithSheet="0"/>
  </xdr:oneCellAnchor>
  <xdr:oneCellAnchor>
    <xdr:from>
      <xdr:col>18</xdr:col>
      <xdr:colOff>0</xdr:colOff>
      <xdr:row>15</xdr:row>
      <xdr:rowOff>0</xdr:rowOff>
    </xdr:from>
    <xdr:ext cx="857250" cy="857250"/>
    <xdr:pic>
      <xdr:nvPicPr>
        <xdr:cNvPr id="0" name="image636.png"/>
        <xdr:cNvPicPr preferRelativeResize="0"/>
      </xdr:nvPicPr>
      <xdr:blipFill>
        <a:blip cstate="print" r:embed="rId74"/>
        <a:stretch>
          <a:fillRect/>
        </a:stretch>
      </xdr:blipFill>
      <xdr:spPr>
        <a:prstGeom prst="rect">
          <a:avLst/>
        </a:prstGeom>
        <a:noFill/>
      </xdr:spPr>
    </xdr:pic>
    <xdr:clientData fLocksWithSheet="0"/>
  </xdr:oneCellAnchor>
  <xdr:oneCellAnchor>
    <xdr:from>
      <xdr:col>24</xdr:col>
      <xdr:colOff>0</xdr:colOff>
      <xdr:row>15</xdr:row>
      <xdr:rowOff>0</xdr:rowOff>
    </xdr:from>
    <xdr:ext cx="857250" cy="857250"/>
    <xdr:pic>
      <xdr:nvPicPr>
        <xdr:cNvPr id="0" name="image628.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16</xdr:row>
      <xdr:rowOff>0</xdr:rowOff>
    </xdr:from>
    <xdr:ext cx="857250" cy="857250"/>
    <xdr:pic>
      <xdr:nvPicPr>
        <xdr:cNvPr id="0" name="image633.png"/>
        <xdr:cNvPicPr preferRelativeResize="0"/>
      </xdr:nvPicPr>
      <xdr:blipFill>
        <a:blip cstate="print" r:embed="rId76"/>
        <a:stretch>
          <a:fillRect/>
        </a:stretch>
      </xdr:blipFill>
      <xdr:spPr>
        <a:prstGeom prst="rect">
          <a:avLst/>
        </a:prstGeom>
        <a:noFill/>
      </xdr:spPr>
    </xdr:pic>
    <xdr:clientData fLocksWithSheet="0"/>
  </xdr:oneCellAnchor>
  <xdr:oneCellAnchor>
    <xdr:from>
      <xdr:col>6</xdr:col>
      <xdr:colOff>0</xdr:colOff>
      <xdr:row>16</xdr:row>
      <xdr:rowOff>0</xdr:rowOff>
    </xdr:from>
    <xdr:ext cx="857250" cy="857250"/>
    <xdr:pic>
      <xdr:nvPicPr>
        <xdr:cNvPr id="0" name="image644.png"/>
        <xdr:cNvPicPr preferRelativeResize="0"/>
      </xdr:nvPicPr>
      <xdr:blipFill>
        <a:blip cstate="print" r:embed="rId77"/>
        <a:stretch>
          <a:fillRect/>
        </a:stretch>
      </xdr:blipFill>
      <xdr:spPr>
        <a:prstGeom prst="rect">
          <a:avLst/>
        </a:prstGeom>
        <a:noFill/>
      </xdr:spPr>
    </xdr:pic>
    <xdr:clientData fLocksWithSheet="0"/>
  </xdr:oneCellAnchor>
  <xdr:oneCellAnchor>
    <xdr:from>
      <xdr:col>12</xdr:col>
      <xdr:colOff>0</xdr:colOff>
      <xdr:row>16</xdr:row>
      <xdr:rowOff>0</xdr:rowOff>
    </xdr:from>
    <xdr:ext cx="857250" cy="857250"/>
    <xdr:pic>
      <xdr:nvPicPr>
        <xdr:cNvPr id="0" name="image632.png"/>
        <xdr:cNvPicPr preferRelativeResize="0"/>
      </xdr:nvPicPr>
      <xdr:blipFill>
        <a:blip cstate="print" r:embed="rId78"/>
        <a:stretch>
          <a:fillRect/>
        </a:stretch>
      </xdr:blipFill>
      <xdr:spPr>
        <a:prstGeom prst="rect">
          <a:avLst/>
        </a:prstGeom>
        <a:noFill/>
      </xdr:spPr>
    </xdr:pic>
    <xdr:clientData fLocksWithSheet="0"/>
  </xdr:oneCellAnchor>
  <xdr:oneCellAnchor>
    <xdr:from>
      <xdr:col>18</xdr:col>
      <xdr:colOff>0</xdr:colOff>
      <xdr:row>16</xdr:row>
      <xdr:rowOff>0</xdr:rowOff>
    </xdr:from>
    <xdr:ext cx="866775" cy="857250"/>
    <xdr:pic>
      <xdr:nvPicPr>
        <xdr:cNvPr id="0" name="image635.png"/>
        <xdr:cNvPicPr preferRelativeResize="0"/>
      </xdr:nvPicPr>
      <xdr:blipFill>
        <a:blip cstate="print" r:embed="rId79"/>
        <a:stretch>
          <a:fillRect/>
        </a:stretch>
      </xdr:blipFill>
      <xdr:spPr>
        <a:prstGeom prst="rect">
          <a:avLst/>
        </a:prstGeom>
        <a:noFill/>
      </xdr:spPr>
    </xdr:pic>
    <xdr:clientData fLocksWithSheet="0"/>
  </xdr:oneCellAnchor>
  <xdr:oneCellAnchor>
    <xdr:from>
      <xdr:col>24</xdr:col>
      <xdr:colOff>0</xdr:colOff>
      <xdr:row>16</xdr:row>
      <xdr:rowOff>0</xdr:rowOff>
    </xdr:from>
    <xdr:ext cx="857250" cy="857250"/>
    <xdr:pic>
      <xdr:nvPicPr>
        <xdr:cNvPr id="0" name="image638.png"/>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0</xdr:colOff>
      <xdr:row>17</xdr:row>
      <xdr:rowOff>0</xdr:rowOff>
    </xdr:from>
    <xdr:ext cx="857250" cy="857250"/>
    <xdr:pic>
      <xdr:nvPicPr>
        <xdr:cNvPr id="0" name="image634.png"/>
        <xdr:cNvPicPr preferRelativeResize="0"/>
      </xdr:nvPicPr>
      <xdr:blipFill>
        <a:blip cstate="print" r:embed="rId81"/>
        <a:stretch>
          <a:fillRect/>
        </a:stretch>
      </xdr:blipFill>
      <xdr:spPr>
        <a:prstGeom prst="rect">
          <a:avLst/>
        </a:prstGeom>
        <a:noFill/>
      </xdr:spPr>
    </xdr:pic>
    <xdr:clientData fLocksWithSheet="0"/>
  </xdr:oneCellAnchor>
  <xdr:oneCellAnchor>
    <xdr:from>
      <xdr:col>6</xdr:col>
      <xdr:colOff>0</xdr:colOff>
      <xdr:row>17</xdr:row>
      <xdr:rowOff>0</xdr:rowOff>
    </xdr:from>
    <xdr:ext cx="857250" cy="857250"/>
    <xdr:pic>
      <xdr:nvPicPr>
        <xdr:cNvPr id="0" name="image641.png"/>
        <xdr:cNvPicPr preferRelativeResize="0"/>
      </xdr:nvPicPr>
      <xdr:blipFill>
        <a:blip cstate="print" r:embed="rId82"/>
        <a:stretch>
          <a:fillRect/>
        </a:stretch>
      </xdr:blipFill>
      <xdr:spPr>
        <a:prstGeom prst="rect">
          <a:avLst/>
        </a:prstGeom>
        <a:noFill/>
      </xdr:spPr>
    </xdr:pic>
    <xdr:clientData fLocksWithSheet="0"/>
  </xdr:oneCellAnchor>
  <xdr:oneCellAnchor>
    <xdr:from>
      <xdr:col>12</xdr:col>
      <xdr:colOff>0</xdr:colOff>
      <xdr:row>17</xdr:row>
      <xdr:rowOff>0</xdr:rowOff>
    </xdr:from>
    <xdr:ext cx="857250" cy="857250"/>
    <xdr:pic>
      <xdr:nvPicPr>
        <xdr:cNvPr id="0" name="image637.png"/>
        <xdr:cNvPicPr preferRelativeResize="0"/>
      </xdr:nvPicPr>
      <xdr:blipFill>
        <a:blip cstate="print" r:embed="rId83"/>
        <a:stretch>
          <a:fillRect/>
        </a:stretch>
      </xdr:blipFill>
      <xdr:spPr>
        <a:prstGeom prst="rect">
          <a:avLst/>
        </a:prstGeom>
        <a:noFill/>
      </xdr:spPr>
    </xdr:pic>
    <xdr:clientData fLocksWithSheet="0"/>
  </xdr:oneCellAnchor>
  <xdr:oneCellAnchor>
    <xdr:from>
      <xdr:col>18</xdr:col>
      <xdr:colOff>0</xdr:colOff>
      <xdr:row>17</xdr:row>
      <xdr:rowOff>0</xdr:rowOff>
    </xdr:from>
    <xdr:ext cx="857250" cy="857250"/>
    <xdr:pic>
      <xdr:nvPicPr>
        <xdr:cNvPr id="0" name="image639.png"/>
        <xdr:cNvPicPr preferRelativeResize="0"/>
      </xdr:nvPicPr>
      <xdr:blipFill>
        <a:blip cstate="print" r:embed="rId84"/>
        <a:stretch>
          <a:fillRect/>
        </a:stretch>
      </xdr:blipFill>
      <xdr:spPr>
        <a:prstGeom prst="rect">
          <a:avLst/>
        </a:prstGeom>
        <a:noFill/>
      </xdr:spPr>
    </xdr:pic>
    <xdr:clientData fLocksWithSheet="0"/>
  </xdr:oneCellAnchor>
  <xdr:oneCellAnchor>
    <xdr:from>
      <xdr:col>24</xdr:col>
      <xdr:colOff>0</xdr:colOff>
      <xdr:row>17</xdr:row>
      <xdr:rowOff>0</xdr:rowOff>
    </xdr:from>
    <xdr:ext cx="857250" cy="857250"/>
    <xdr:pic>
      <xdr:nvPicPr>
        <xdr:cNvPr id="0" name="image647.png"/>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18</xdr:row>
      <xdr:rowOff>0</xdr:rowOff>
    </xdr:from>
    <xdr:ext cx="857250" cy="857250"/>
    <xdr:pic>
      <xdr:nvPicPr>
        <xdr:cNvPr id="0" name="image645.png"/>
        <xdr:cNvPicPr preferRelativeResize="0"/>
      </xdr:nvPicPr>
      <xdr:blipFill>
        <a:blip cstate="print" r:embed="rId86"/>
        <a:stretch>
          <a:fillRect/>
        </a:stretch>
      </xdr:blipFill>
      <xdr:spPr>
        <a:prstGeom prst="rect">
          <a:avLst/>
        </a:prstGeom>
        <a:noFill/>
      </xdr:spPr>
    </xdr:pic>
    <xdr:clientData fLocksWithSheet="0"/>
  </xdr:oneCellAnchor>
  <xdr:oneCellAnchor>
    <xdr:from>
      <xdr:col>6</xdr:col>
      <xdr:colOff>0</xdr:colOff>
      <xdr:row>18</xdr:row>
      <xdr:rowOff>0</xdr:rowOff>
    </xdr:from>
    <xdr:ext cx="857250" cy="857250"/>
    <xdr:pic>
      <xdr:nvPicPr>
        <xdr:cNvPr id="0" name="image642.png"/>
        <xdr:cNvPicPr preferRelativeResize="0"/>
      </xdr:nvPicPr>
      <xdr:blipFill>
        <a:blip cstate="print" r:embed="rId87"/>
        <a:stretch>
          <a:fillRect/>
        </a:stretch>
      </xdr:blipFill>
      <xdr:spPr>
        <a:prstGeom prst="rect">
          <a:avLst/>
        </a:prstGeom>
        <a:noFill/>
      </xdr:spPr>
    </xdr:pic>
    <xdr:clientData fLocksWithSheet="0"/>
  </xdr:oneCellAnchor>
  <xdr:oneCellAnchor>
    <xdr:from>
      <xdr:col>12</xdr:col>
      <xdr:colOff>0</xdr:colOff>
      <xdr:row>18</xdr:row>
      <xdr:rowOff>0</xdr:rowOff>
    </xdr:from>
    <xdr:ext cx="857250" cy="857250"/>
    <xdr:pic>
      <xdr:nvPicPr>
        <xdr:cNvPr id="0" name="image650.png"/>
        <xdr:cNvPicPr preferRelativeResize="0"/>
      </xdr:nvPicPr>
      <xdr:blipFill>
        <a:blip cstate="print" r:embed="rId88"/>
        <a:stretch>
          <a:fillRect/>
        </a:stretch>
      </xdr:blipFill>
      <xdr:spPr>
        <a:prstGeom prst="rect">
          <a:avLst/>
        </a:prstGeom>
        <a:noFill/>
      </xdr:spPr>
    </xdr:pic>
    <xdr:clientData fLocksWithSheet="0"/>
  </xdr:oneCellAnchor>
  <xdr:oneCellAnchor>
    <xdr:from>
      <xdr:col>18</xdr:col>
      <xdr:colOff>0</xdr:colOff>
      <xdr:row>18</xdr:row>
      <xdr:rowOff>0</xdr:rowOff>
    </xdr:from>
    <xdr:ext cx="857250" cy="857250"/>
    <xdr:pic>
      <xdr:nvPicPr>
        <xdr:cNvPr id="0" name="image654.png"/>
        <xdr:cNvPicPr preferRelativeResize="0"/>
      </xdr:nvPicPr>
      <xdr:blipFill>
        <a:blip cstate="print" r:embed="rId89"/>
        <a:stretch>
          <a:fillRect/>
        </a:stretch>
      </xdr:blipFill>
      <xdr:spPr>
        <a:prstGeom prst="rect">
          <a:avLst/>
        </a:prstGeom>
        <a:noFill/>
      </xdr:spPr>
    </xdr:pic>
    <xdr:clientData fLocksWithSheet="0"/>
  </xdr:oneCellAnchor>
  <xdr:oneCellAnchor>
    <xdr:from>
      <xdr:col>24</xdr:col>
      <xdr:colOff>0</xdr:colOff>
      <xdr:row>18</xdr:row>
      <xdr:rowOff>0</xdr:rowOff>
    </xdr:from>
    <xdr:ext cx="857250" cy="857250"/>
    <xdr:pic>
      <xdr:nvPicPr>
        <xdr:cNvPr id="0" name="image640.png"/>
        <xdr:cNvPicPr preferRelativeResize="0"/>
      </xdr:nvPicPr>
      <xdr:blipFill>
        <a:blip cstate="print" r:embed="rId90"/>
        <a:stretch>
          <a:fillRect/>
        </a:stretch>
      </xdr:blipFill>
      <xdr:spPr>
        <a:prstGeom prst="rect">
          <a:avLst/>
        </a:prstGeom>
        <a:noFill/>
      </xdr:spPr>
    </xdr:pic>
    <xdr:clientData fLocksWithSheet="0"/>
  </xdr:oneCellAnchor>
  <xdr:oneCellAnchor>
    <xdr:from>
      <xdr:col>0</xdr:col>
      <xdr:colOff>0</xdr:colOff>
      <xdr:row>19</xdr:row>
      <xdr:rowOff>0</xdr:rowOff>
    </xdr:from>
    <xdr:ext cx="857250" cy="857250"/>
    <xdr:pic>
      <xdr:nvPicPr>
        <xdr:cNvPr id="0" name="image653.png"/>
        <xdr:cNvPicPr preferRelativeResize="0"/>
      </xdr:nvPicPr>
      <xdr:blipFill>
        <a:blip cstate="print" r:embed="rId91"/>
        <a:stretch>
          <a:fillRect/>
        </a:stretch>
      </xdr:blipFill>
      <xdr:spPr>
        <a:prstGeom prst="rect">
          <a:avLst/>
        </a:prstGeom>
        <a:noFill/>
      </xdr:spPr>
    </xdr:pic>
    <xdr:clientData fLocksWithSheet="0"/>
  </xdr:oneCellAnchor>
  <xdr:oneCellAnchor>
    <xdr:from>
      <xdr:col>6</xdr:col>
      <xdr:colOff>0</xdr:colOff>
      <xdr:row>19</xdr:row>
      <xdr:rowOff>0</xdr:rowOff>
    </xdr:from>
    <xdr:ext cx="857250" cy="857250"/>
    <xdr:pic>
      <xdr:nvPicPr>
        <xdr:cNvPr id="0" name="image656.png"/>
        <xdr:cNvPicPr preferRelativeResize="0"/>
      </xdr:nvPicPr>
      <xdr:blipFill>
        <a:blip cstate="print" r:embed="rId92"/>
        <a:stretch>
          <a:fillRect/>
        </a:stretch>
      </xdr:blipFill>
      <xdr:spPr>
        <a:prstGeom prst="rect">
          <a:avLst/>
        </a:prstGeom>
        <a:noFill/>
      </xdr:spPr>
    </xdr:pic>
    <xdr:clientData fLocksWithSheet="0"/>
  </xdr:oneCellAnchor>
  <xdr:oneCellAnchor>
    <xdr:from>
      <xdr:col>12</xdr:col>
      <xdr:colOff>0</xdr:colOff>
      <xdr:row>19</xdr:row>
      <xdr:rowOff>0</xdr:rowOff>
    </xdr:from>
    <xdr:ext cx="857250" cy="857250"/>
    <xdr:pic>
      <xdr:nvPicPr>
        <xdr:cNvPr id="0" name="image649.png"/>
        <xdr:cNvPicPr preferRelativeResize="0"/>
      </xdr:nvPicPr>
      <xdr:blipFill>
        <a:blip cstate="print" r:embed="rId93"/>
        <a:stretch>
          <a:fillRect/>
        </a:stretch>
      </xdr:blipFill>
      <xdr:spPr>
        <a:prstGeom prst="rect">
          <a:avLst/>
        </a:prstGeom>
        <a:noFill/>
      </xdr:spPr>
    </xdr:pic>
    <xdr:clientData fLocksWithSheet="0"/>
  </xdr:oneCellAnchor>
  <xdr:oneCellAnchor>
    <xdr:from>
      <xdr:col>18</xdr:col>
      <xdr:colOff>0</xdr:colOff>
      <xdr:row>19</xdr:row>
      <xdr:rowOff>0</xdr:rowOff>
    </xdr:from>
    <xdr:ext cx="857250" cy="857250"/>
    <xdr:pic>
      <xdr:nvPicPr>
        <xdr:cNvPr id="0" name="image658.png"/>
        <xdr:cNvPicPr preferRelativeResize="0"/>
      </xdr:nvPicPr>
      <xdr:blipFill>
        <a:blip cstate="print" r:embed="rId94"/>
        <a:stretch>
          <a:fillRect/>
        </a:stretch>
      </xdr:blipFill>
      <xdr:spPr>
        <a:prstGeom prst="rect">
          <a:avLst/>
        </a:prstGeom>
        <a:noFill/>
      </xdr:spPr>
    </xdr:pic>
    <xdr:clientData fLocksWithSheet="0"/>
  </xdr:oneCellAnchor>
  <xdr:oneCellAnchor>
    <xdr:from>
      <xdr:col>24</xdr:col>
      <xdr:colOff>0</xdr:colOff>
      <xdr:row>19</xdr:row>
      <xdr:rowOff>0</xdr:rowOff>
    </xdr:from>
    <xdr:ext cx="857250" cy="857250"/>
    <xdr:pic>
      <xdr:nvPicPr>
        <xdr:cNvPr id="0" name="image648.png"/>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0</xdr:colOff>
      <xdr:row>20</xdr:row>
      <xdr:rowOff>0</xdr:rowOff>
    </xdr:from>
    <xdr:ext cx="857250" cy="857250"/>
    <xdr:pic>
      <xdr:nvPicPr>
        <xdr:cNvPr id="0" name="image651.png"/>
        <xdr:cNvPicPr preferRelativeResize="0"/>
      </xdr:nvPicPr>
      <xdr:blipFill>
        <a:blip cstate="print" r:embed="rId96"/>
        <a:stretch>
          <a:fillRect/>
        </a:stretch>
      </xdr:blipFill>
      <xdr:spPr>
        <a:prstGeom prst="rect">
          <a:avLst/>
        </a:prstGeom>
        <a:noFill/>
      </xdr:spPr>
    </xdr:pic>
    <xdr:clientData fLocksWithSheet="0"/>
  </xdr:oneCellAnchor>
  <xdr:oneCellAnchor>
    <xdr:from>
      <xdr:col>6</xdr:col>
      <xdr:colOff>0</xdr:colOff>
      <xdr:row>20</xdr:row>
      <xdr:rowOff>0</xdr:rowOff>
    </xdr:from>
    <xdr:ext cx="857250" cy="857250"/>
    <xdr:pic>
      <xdr:nvPicPr>
        <xdr:cNvPr id="0" name="image652.png"/>
        <xdr:cNvPicPr preferRelativeResize="0"/>
      </xdr:nvPicPr>
      <xdr:blipFill>
        <a:blip cstate="print" r:embed="rId97"/>
        <a:stretch>
          <a:fillRect/>
        </a:stretch>
      </xdr:blipFill>
      <xdr:spPr>
        <a:prstGeom prst="rect">
          <a:avLst/>
        </a:prstGeom>
        <a:noFill/>
      </xdr:spPr>
    </xdr:pic>
    <xdr:clientData fLocksWithSheet="0"/>
  </xdr:oneCellAnchor>
  <xdr:oneCellAnchor>
    <xdr:from>
      <xdr:col>12</xdr:col>
      <xdr:colOff>0</xdr:colOff>
      <xdr:row>20</xdr:row>
      <xdr:rowOff>0</xdr:rowOff>
    </xdr:from>
    <xdr:ext cx="857250" cy="857250"/>
    <xdr:pic>
      <xdr:nvPicPr>
        <xdr:cNvPr id="0" name="image657.png"/>
        <xdr:cNvPicPr preferRelativeResize="0"/>
      </xdr:nvPicPr>
      <xdr:blipFill>
        <a:blip cstate="print" r:embed="rId98"/>
        <a:stretch>
          <a:fillRect/>
        </a:stretch>
      </xdr:blipFill>
      <xdr:spPr>
        <a:prstGeom prst="rect">
          <a:avLst/>
        </a:prstGeom>
        <a:noFill/>
      </xdr:spPr>
    </xdr:pic>
    <xdr:clientData fLocksWithSheet="0"/>
  </xdr:oneCellAnchor>
  <xdr:oneCellAnchor>
    <xdr:from>
      <xdr:col>18</xdr:col>
      <xdr:colOff>0</xdr:colOff>
      <xdr:row>20</xdr:row>
      <xdr:rowOff>0</xdr:rowOff>
    </xdr:from>
    <xdr:ext cx="857250" cy="857250"/>
    <xdr:pic>
      <xdr:nvPicPr>
        <xdr:cNvPr id="0" name="image655.png"/>
        <xdr:cNvPicPr preferRelativeResize="0"/>
      </xdr:nvPicPr>
      <xdr:blipFill>
        <a:blip cstate="print" r:embed="rId99"/>
        <a:stretch>
          <a:fillRect/>
        </a:stretch>
      </xdr:blipFill>
      <xdr:spPr>
        <a:prstGeom prst="rect">
          <a:avLst/>
        </a:prstGeom>
        <a:noFill/>
      </xdr:spPr>
    </xdr:pic>
    <xdr:clientData fLocksWithSheet="0"/>
  </xdr:oneCellAnchor>
  <xdr:oneCellAnchor>
    <xdr:from>
      <xdr:col>24</xdr:col>
      <xdr:colOff>0</xdr:colOff>
      <xdr:row>20</xdr:row>
      <xdr:rowOff>0</xdr:rowOff>
    </xdr:from>
    <xdr:ext cx="857250" cy="857250"/>
    <xdr:pic>
      <xdr:nvPicPr>
        <xdr:cNvPr id="0" name="image660.png"/>
        <xdr:cNvPicPr preferRelativeResize="0"/>
      </xdr:nvPicPr>
      <xdr:blipFill>
        <a:blip cstate="print" r:embed="rId100"/>
        <a:stretch>
          <a:fillRect/>
        </a:stretch>
      </xdr:blipFill>
      <xdr:spPr>
        <a:prstGeom prst="rect">
          <a:avLst/>
        </a:prstGeom>
        <a:noFill/>
      </xdr:spPr>
    </xdr:pic>
    <xdr:clientData fLocksWithSheet="0"/>
  </xdr:oneCellAnchor>
  <xdr:oneCellAnchor>
    <xdr:from>
      <xdr:col>0</xdr:col>
      <xdr:colOff>0</xdr:colOff>
      <xdr:row>21</xdr:row>
      <xdr:rowOff>0</xdr:rowOff>
    </xdr:from>
    <xdr:ext cx="857250" cy="857250"/>
    <xdr:pic>
      <xdr:nvPicPr>
        <xdr:cNvPr id="0" name="image659.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21</xdr:row>
      <xdr:rowOff>0</xdr:rowOff>
    </xdr:from>
    <xdr:ext cx="857250" cy="857250"/>
    <xdr:pic>
      <xdr:nvPicPr>
        <xdr:cNvPr id="0" name="image663.png"/>
        <xdr:cNvPicPr preferRelativeResize="0"/>
      </xdr:nvPicPr>
      <xdr:blipFill>
        <a:blip cstate="print" r:embed="rId102"/>
        <a:stretch>
          <a:fillRect/>
        </a:stretch>
      </xdr:blipFill>
      <xdr:spPr>
        <a:prstGeom prst="rect">
          <a:avLst/>
        </a:prstGeom>
        <a:noFill/>
      </xdr:spPr>
    </xdr:pic>
    <xdr:clientData fLocksWithSheet="0"/>
  </xdr:oneCellAnchor>
  <xdr:oneCellAnchor>
    <xdr:from>
      <xdr:col>12</xdr:col>
      <xdr:colOff>0</xdr:colOff>
      <xdr:row>21</xdr:row>
      <xdr:rowOff>0</xdr:rowOff>
    </xdr:from>
    <xdr:ext cx="857250" cy="857250"/>
    <xdr:pic>
      <xdr:nvPicPr>
        <xdr:cNvPr id="0" name="image664.png"/>
        <xdr:cNvPicPr preferRelativeResize="0"/>
      </xdr:nvPicPr>
      <xdr:blipFill>
        <a:blip cstate="print" r:embed="rId103"/>
        <a:stretch>
          <a:fillRect/>
        </a:stretch>
      </xdr:blipFill>
      <xdr:spPr>
        <a:prstGeom prst="rect">
          <a:avLst/>
        </a:prstGeom>
        <a:noFill/>
      </xdr:spPr>
    </xdr:pic>
    <xdr:clientData fLocksWithSheet="0"/>
  </xdr:oneCellAnchor>
  <xdr:oneCellAnchor>
    <xdr:from>
      <xdr:col>18</xdr:col>
      <xdr:colOff>0</xdr:colOff>
      <xdr:row>21</xdr:row>
      <xdr:rowOff>0</xdr:rowOff>
    </xdr:from>
    <xdr:ext cx="857250" cy="857250"/>
    <xdr:pic>
      <xdr:nvPicPr>
        <xdr:cNvPr id="0" name="image661.png"/>
        <xdr:cNvPicPr preferRelativeResize="0"/>
      </xdr:nvPicPr>
      <xdr:blipFill>
        <a:blip cstate="print" r:embed="rId104"/>
        <a:stretch>
          <a:fillRect/>
        </a:stretch>
      </xdr:blipFill>
      <xdr:spPr>
        <a:prstGeom prst="rect">
          <a:avLst/>
        </a:prstGeom>
        <a:noFill/>
      </xdr:spPr>
    </xdr:pic>
    <xdr:clientData fLocksWithSheet="0"/>
  </xdr:oneCellAnchor>
  <xdr:oneCellAnchor>
    <xdr:from>
      <xdr:col>24</xdr:col>
      <xdr:colOff>0</xdr:colOff>
      <xdr:row>21</xdr:row>
      <xdr:rowOff>0</xdr:rowOff>
    </xdr:from>
    <xdr:ext cx="857250" cy="857250"/>
    <xdr:pic>
      <xdr:nvPicPr>
        <xdr:cNvPr id="0" name="image662.png"/>
        <xdr:cNvPicPr preferRelativeResize="0"/>
      </xdr:nvPicPr>
      <xdr:blipFill>
        <a:blip cstate="print" r:embed="rId105"/>
        <a:stretch>
          <a:fillRect/>
        </a:stretch>
      </xdr:blipFill>
      <xdr:spPr>
        <a:prstGeom prst="rect">
          <a:avLst/>
        </a:prstGeom>
        <a:noFill/>
      </xdr:spPr>
    </xdr:pic>
    <xdr:clientData fLocksWithSheet="0"/>
  </xdr:oneCellAnchor>
  <xdr:oneCellAnchor>
    <xdr:from>
      <xdr:col>0</xdr:col>
      <xdr:colOff>0</xdr:colOff>
      <xdr:row>22</xdr:row>
      <xdr:rowOff>0</xdr:rowOff>
    </xdr:from>
    <xdr:ext cx="857250" cy="857250"/>
    <xdr:pic>
      <xdr:nvPicPr>
        <xdr:cNvPr id="0" name="image665.png"/>
        <xdr:cNvPicPr preferRelativeResize="0"/>
      </xdr:nvPicPr>
      <xdr:blipFill>
        <a:blip cstate="print" r:embed="rId106"/>
        <a:stretch>
          <a:fillRect/>
        </a:stretch>
      </xdr:blipFill>
      <xdr:spPr>
        <a:prstGeom prst="rect">
          <a:avLst/>
        </a:prstGeom>
        <a:noFill/>
      </xdr:spPr>
    </xdr:pic>
    <xdr:clientData fLocksWithSheet="0"/>
  </xdr:oneCellAnchor>
  <xdr:oneCellAnchor>
    <xdr:from>
      <xdr:col>6</xdr:col>
      <xdr:colOff>0</xdr:colOff>
      <xdr:row>22</xdr:row>
      <xdr:rowOff>0</xdr:rowOff>
    </xdr:from>
    <xdr:ext cx="857250" cy="857250"/>
    <xdr:pic>
      <xdr:nvPicPr>
        <xdr:cNvPr id="0" name="image669.png"/>
        <xdr:cNvPicPr preferRelativeResize="0"/>
      </xdr:nvPicPr>
      <xdr:blipFill>
        <a:blip cstate="print" r:embed="rId107"/>
        <a:stretch>
          <a:fillRect/>
        </a:stretch>
      </xdr:blipFill>
      <xdr:spPr>
        <a:prstGeom prst="rect">
          <a:avLst/>
        </a:prstGeom>
        <a:noFill/>
      </xdr:spPr>
    </xdr:pic>
    <xdr:clientData fLocksWithSheet="0"/>
  </xdr:oneCellAnchor>
  <xdr:oneCellAnchor>
    <xdr:from>
      <xdr:col>12</xdr:col>
      <xdr:colOff>0</xdr:colOff>
      <xdr:row>22</xdr:row>
      <xdr:rowOff>0</xdr:rowOff>
    </xdr:from>
    <xdr:ext cx="857250" cy="857250"/>
    <xdr:pic>
      <xdr:nvPicPr>
        <xdr:cNvPr id="0" name="image666.png"/>
        <xdr:cNvPicPr preferRelativeResize="0"/>
      </xdr:nvPicPr>
      <xdr:blipFill>
        <a:blip cstate="print" r:embed="rId108"/>
        <a:stretch>
          <a:fillRect/>
        </a:stretch>
      </xdr:blipFill>
      <xdr:spPr>
        <a:prstGeom prst="rect">
          <a:avLst/>
        </a:prstGeom>
        <a:noFill/>
      </xdr:spPr>
    </xdr:pic>
    <xdr:clientData fLocksWithSheet="0"/>
  </xdr:oneCellAnchor>
  <xdr:oneCellAnchor>
    <xdr:from>
      <xdr:col>18</xdr:col>
      <xdr:colOff>0</xdr:colOff>
      <xdr:row>22</xdr:row>
      <xdr:rowOff>0</xdr:rowOff>
    </xdr:from>
    <xdr:ext cx="857250" cy="857250"/>
    <xdr:pic>
      <xdr:nvPicPr>
        <xdr:cNvPr id="0" name="image670.png"/>
        <xdr:cNvPicPr preferRelativeResize="0"/>
      </xdr:nvPicPr>
      <xdr:blipFill>
        <a:blip cstate="print" r:embed="rId109"/>
        <a:stretch>
          <a:fillRect/>
        </a:stretch>
      </xdr:blipFill>
      <xdr:spPr>
        <a:prstGeom prst="rect">
          <a:avLst/>
        </a:prstGeom>
        <a:noFill/>
      </xdr:spPr>
    </xdr:pic>
    <xdr:clientData fLocksWithSheet="0"/>
  </xdr:oneCellAnchor>
  <xdr:oneCellAnchor>
    <xdr:from>
      <xdr:col>24</xdr:col>
      <xdr:colOff>0</xdr:colOff>
      <xdr:row>22</xdr:row>
      <xdr:rowOff>0</xdr:rowOff>
    </xdr:from>
    <xdr:ext cx="857250" cy="857250"/>
    <xdr:pic>
      <xdr:nvPicPr>
        <xdr:cNvPr id="0" name="image667.png"/>
        <xdr:cNvPicPr preferRelativeResize="0"/>
      </xdr:nvPicPr>
      <xdr:blipFill>
        <a:blip cstate="print" r:embed="rId110"/>
        <a:stretch>
          <a:fillRect/>
        </a:stretch>
      </xdr:blipFill>
      <xdr:spPr>
        <a:prstGeom prst="rect">
          <a:avLst/>
        </a:prstGeom>
        <a:noFill/>
      </xdr:spPr>
    </xdr:pic>
    <xdr:clientData fLocksWithSheet="0"/>
  </xdr:oneCellAnchor>
  <xdr:oneCellAnchor>
    <xdr:from>
      <xdr:col>0</xdr:col>
      <xdr:colOff>0</xdr:colOff>
      <xdr:row>23</xdr:row>
      <xdr:rowOff>0</xdr:rowOff>
    </xdr:from>
    <xdr:ext cx="857250" cy="857250"/>
    <xdr:pic>
      <xdr:nvPicPr>
        <xdr:cNvPr id="0" name="image674.png"/>
        <xdr:cNvPicPr preferRelativeResize="0"/>
      </xdr:nvPicPr>
      <xdr:blipFill>
        <a:blip cstate="print" r:embed="rId111"/>
        <a:stretch>
          <a:fillRect/>
        </a:stretch>
      </xdr:blipFill>
      <xdr:spPr>
        <a:prstGeom prst="rect">
          <a:avLst/>
        </a:prstGeom>
        <a:noFill/>
      </xdr:spPr>
    </xdr:pic>
    <xdr:clientData fLocksWithSheet="0"/>
  </xdr:oneCellAnchor>
  <xdr:oneCellAnchor>
    <xdr:from>
      <xdr:col>6</xdr:col>
      <xdr:colOff>0</xdr:colOff>
      <xdr:row>23</xdr:row>
      <xdr:rowOff>0</xdr:rowOff>
    </xdr:from>
    <xdr:ext cx="857250" cy="857250"/>
    <xdr:pic>
      <xdr:nvPicPr>
        <xdr:cNvPr id="0" name="image680.png"/>
        <xdr:cNvPicPr preferRelativeResize="0"/>
      </xdr:nvPicPr>
      <xdr:blipFill>
        <a:blip cstate="print" r:embed="rId112"/>
        <a:stretch>
          <a:fillRect/>
        </a:stretch>
      </xdr:blipFill>
      <xdr:spPr>
        <a:prstGeom prst="rect">
          <a:avLst/>
        </a:prstGeom>
        <a:noFill/>
      </xdr:spPr>
    </xdr:pic>
    <xdr:clientData fLocksWithSheet="0"/>
  </xdr:oneCellAnchor>
  <xdr:oneCellAnchor>
    <xdr:from>
      <xdr:col>12</xdr:col>
      <xdr:colOff>0</xdr:colOff>
      <xdr:row>23</xdr:row>
      <xdr:rowOff>0</xdr:rowOff>
    </xdr:from>
    <xdr:ext cx="857250" cy="857250"/>
    <xdr:pic>
      <xdr:nvPicPr>
        <xdr:cNvPr id="0" name="image695.png"/>
        <xdr:cNvPicPr preferRelativeResize="0"/>
      </xdr:nvPicPr>
      <xdr:blipFill>
        <a:blip cstate="print" r:embed="rId113"/>
        <a:stretch>
          <a:fillRect/>
        </a:stretch>
      </xdr:blipFill>
      <xdr:spPr>
        <a:prstGeom prst="rect">
          <a:avLst/>
        </a:prstGeom>
        <a:noFill/>
      </xdr:spPr>
    </xdr:pic>
    <xdr:clientData fLocksWithSheet="0"/>
  </xdr:oneCellAnchor>
  <xdr:oneCellAnchor>
    <xdr:from>
      <xdr:col>18</xdr:col>
      <xdr:colOff>0</xdr:colOff>
      <xdr:row>23</xdr:row>
      <xdr:rowOff>0</xdr:rowOff>
    </xdr:from>
    <xdr:ext cx="857250" cy="857250"/>
    <xdr:pic>
      <xdr:nvPicPr>
        <xdr:cNvPr id="0" name="image668.png"/>
        <xdr:cNvPicPr preferRelativeResize="0"/>
      </xdr:nvPicPr>
      <xdr:blipFill>
        <a:blip cstate="print" r:embed="rId114"/>
        <a:stretch>
          <a:fillRect/>
        </a:stretch>
      </xdr:blipFill>
      <xdr:spPr>
        <a:prstGeom prst="rect">
          <a:avLst/>
        </a:prstGeom>
        <a:noFill/>
      </xdr:spPr>
    </xdr:pic>
    <xdr:clientData fLocksWithSheet="0"/>
  </xdr:oneCellAnchor>
  <xdr:oneCellAnchor>
    <xdr:from>
      <xdr:col>24</xdr:col>
      <xdr:colOff>0</xdr:colOff>
      <xdr:row>23</xdr:row>
      <xdr:rowOff>0</xdr:rowOff>
    </xdr:from>
    <xdr:ext cx="857250" cy="857250"/>
    <xdr:pic>
      <xdr:nvPicPr>
        <xdr:cNvPr id="0" name="image675.png"/>
        <xdr:cNvPicPr preferRelativeResize="0"/>
      </xdr:nvPicPr>
      <xdr:blipFill>
        <a:blip cstate="print" r:embed="rId115"/>
        <a:stretch>
          <a:fillRect/>
        </a:stretch>
      </xdr:blipFill>
      <xdr:spPr>
        <a:prstGeom prst="rect">
          <a:avLst/>
        </a:prstGeom>
        <a:noFill/>
      </xdr:spPr>
    </xdr:pic>
    <xdr:clientData fLocksWithSheet="0"/>
  </xdr:oneCellAnchor>
  <xdr:oneCellAnchor>
    <xdr:from>
      <xdr:col>0</xdr:col>
      <xdr:colOff>0</xdr:colOff>
      <xdr:row>24</xdr:row>
      <xdr:rowOff>0</xdr:rowOff>
    </xdr:from>
    <xdr:ext cx="857250" cy="857250"/>
    <xdr:pic>
      <xdr:nvPicPr>
        <xdr:cNvPr id="0" name="image672.png"/>
        <xdr:cNvPicPr preferRelativeResize="0"/>
      </xdr:nvPicPr>
      <xdr:blipFill>
        <a:blip cstate="print" r:embed="rId116"/>
        <a:stretch>
          <a:fillRect/>
        </a:stretch>
      </xdr:blipFill>
      <xdr:spPr>
        <a:prstGeom prst="rect">
          <a:avLst/>
        </a:prstGeom>
        <a:noFill/>
      </xdr:spPr>
    </xdr:pic>
    <xdr:clientData fLocksWithSheet="0"/>
  </xdr:oneCellAnchor>
  <xdr:oneCellAnchor>
    <xdr:from>
      <xdr:col>6</xdr:col>
      <xdr:colOff>0</xdr:colOff>
      <xdr:row>24</xdr:row>
      <xdr:rowOff>0</xdr:rowOff>
    </xdr:from>
    <xdr:ext cx="857250" cy="857250"/>
    <xdr:pic>
      <xdr:nvPicPr>
        <xdr:cNvPr id="0" name="image671.png"/>
        <xdr:cNvPicPr preferRelativeResize="0"/>
      </xdr:nvPicPr>
      <xdr:blipFill>
        <a:blip cstate="print" r:embed="rId117"/>
        <a:stretch>
          <a:fillRect/>
        </a:stretch>
      </xdr:blipFill>
      <xdr:spPr>
        <a:prstGeom prst="rect">
          <a:avLst/>
        </a:prstGeom>
        <a:noFill/>
      </xdr:spPr>
    </xdr:pic>
    <xdr:clientData fLocksWithSheet="0"/>
  </xdr:oneCellAnchor>
  <xdr:oneCellAnchor>
    <xdr:from>
      <xdr:col>12</xdr:col>
      <xdr:colOff>0</xdr:colOff>
      <xdr:row>24</xdr:row>
      <xdr:rowOff>0</xdr:rowOff>
    </xdr:from>
    <xdr:ext cx="857250" cy="857250"/>
    <xdr:pic>
      <xdr:nvPicPr>
        <xdr:cNvPr id="0" name="image673.png"/>
        <xdr:cNvPicPr preferRelativeResize="0"/>
      </xdr:nvPicPr>
      <xdr:blipFill>
        <a:blip cstate="print" r:embed="rId118"/>
        <a:stretch>
          <a:fillRect/>
        </a:stretch>
      </xdr:blipFill>
      <xdr:spPr>
        <a:prstGeom prst="rect">
          <a:avLst/>
        </a:prstGeom>
        <a:noFill/>
      </xdr:spPr>
    </xdr:pic>
    <xdr:clientData fLocksWithSheet="0"/>
  </xdr:oneCellAnchor>
  <xdr:oneCellAnchor>
    <xdr:from>
      <xdr:col>18</xdr:col>
      <xdr:colOff>0</xdr:colOff>
      <xdr:row>24</xdr:row>
      <xdr:rowOff>0</xdr:rowOff>
    </xdr:from>
    <xdr:ext cx="857250" cy="857250"/>
    <xdr:pic>
      <xdr:nvPicPr>
        <xdr:cNvPr id="0" name="image676.png"/>
        <xdr:cNvPicPr preferRelativeResize="0"/>
      </xdr:nvPicPr>
      <xdr:blipFill>
        <a:blip cstate="print" r:embed="rId119"/>
        <a:stretch>
          <a:fillRect/>
        </a:stretch>
      </xdr:blipFill>
      <xdr:spPr>
        <a:prstGeom prst="rect">
          <a:avLst/>
        </a:prstGeom>
        <a:noFill/>
      </xdr:spPr>
    </xdr:pic>
    <xdr:clientData fLocksWithSheet="0"/>
  </xdr:oneCellAnchor>
  <xdr:oneCellAnchor>
    <xdr:from>
      <xdr:col>24</xdr:col>
      <xdr:colOff>0</xdr:colOff>
      <xdr:row>24</xdr:row>
      <xdr:rowOff>0</xdr:rowOff>
    </xdr:from>
    <xdr:ext cx="857250" cy="857250"/>
    <xdr:pic>
      <xdr:nvPicPr>
        <xdr:cNvPr id="0" name="image677.png"/>
        <xdr:cNvPicPr preferRelativeResize="0"/>
      </xdr:nvPicPr>
      <xdr:blipFill>
        <a:blip cstate="print" r:embed="rId120"/>
        <a:stretch>
          <a:fillRect/>
        </a:stretch>
      </xdr:blipFill>
      <xdr:spPr>
        <a:prstGeom prst="rect">
          <a:avLst/>
        </a:prstGeom>
        <a:noFill/>
      </xdr:spPr>
    </xdr:pic>
    <xdr:clientData fLocksWithSheet="0"/>
  </xdr:oneCellAnchor>
  <xdr:oneCellAnchor>
    <xdr:from>
      <xdr:col>0</xdr:col>
      <xdr:colOff>0</xdr:colOff>
      <xdr:row>25</xdr:row>
      <xdr:rowOff>0</xdr:rowOff>
    </xdr:from>
    <xdr:ext cx="857250" cy="857250"/>
    <xdr:pic>
      <xdr:nvPicPr>
        <xdr:cNvPr id="0" name="image711.png"/>
        <xdr:cNvPicPr preferRelativeResize="0"/>
      </xdr:nvPicPr>
      <xdr:blipFill>
        <a:blip cstate="print" r:embed="rId121"/>
        <a:stretch>
          <a:fillRect/>
        </a:stretch>
      </xdr:blipFill>
      <xdr:spPr>
        <a:prstGeom prst="rect">
          <a:avLst/>
        </a:prstGeom>
        <a:noFill/>
      </xdr:spPr>
    </xdr:pic>
    <xdr:clientData fLocksWithSheet="0"/>
  </xdr:oneCellAnchor>
  <xdr:oneCellAnchor>
    <xdr:from>
      <xdr:col>6</xdr:col>
      <xdr:colOff>0</xdr:colOff>
      <xdr:row>25</xdr:row>
      <xdr:rowOff>0</xdr:rowOff>
    </xdr:from>
    <xdr:ext cx="857250" cy="857250"/>
    <xdr:pic>
      <xdr:nvPicPr>
        <xdr:cNvPr id="0" name="image701.png"/>
        <xdr:cNvPicPr preferRelativeResize="0"/>
      </xdr:nvPicPr>
      <xdr:blipFill>
        <a:blip cstate="print" r:embed="rId122"/>
        <a:stretch>
          <a:fillRect/>
        </a:stretch>
      </xdr:blipFill>
      <xdr:spPr>
        <a:prstGeom prst="rect">
          <a:avLst/>
        </a:prstGeom>
        <a:noFill/>
      </xdr:spPr>
    </xdr:pic>
    <xdr:clientData fLocksWithSheet="0"/>
  </xdr:oneCellAnchor>
  <xdr:oneCellAnchor>
    <xdr:from>
      <xdr:col>12</xdr:col>
      <xdr:colOff>0</xdr:colOff>
      <xdr:row>25</xdr:row>
      <xdr:rowOff>0</xdr:rowOff>
    </xdr:from>
    <xdr:ext cx="857250" cy="857250"/>
    <xdr:pic>
      <xdr:nvPicPr>
        <xdr:cNvPr id="0" name="image679.png"/>
        <xdr:cNvPicPr preferRelativeResize="0"/>
      </xdr:nvPicPr>
      <xdr:blipFill>
        <a:blip cstate="print" r:embed="rId123"/>
        <a:stretch>
          <a:fillRect/>
        </a:stretch>
      </xdr:blipFill>
      <xdr:spPr>
        <a:prstGeom prst="rect">
          <a:avLst/>
        </a:prstGeom>
        <a:noFill/>
      </xdr:spPr>
    </xdr:pic>
    <xdr:clientData fLocksWithSheet="0"/>
  </xdr:oneCellAnchor>
  <xdr:oneCellAnchor>
    <xdr:from>
      <xdr:col>18</xdr:col>
      <xdr:colOff>0</xdr:colOff>
      <xdr:row>25</xdr:row>
      <xdr:rowOff>0</xdr:rowOff>
    </xdr:from>
    <xdr:ext cx="857250" cy="857250"/>
    <xdr:pic>
      <xdr:nvPicPr>
        <xdr:cNvPr id="0" name="image678.png"/>
        <xdr:cNvPicPr preferRelativeResize="0"/>
      </xdr:nvPicPr>
      <xdr:blipFill>
        <a:blip cstate="print" r:embed="rId124"/>
        <a:stretch>
          <a:fillRect/>
        </a:stretch>
      </xdr:blipFill>
      <xdr:spPr>
        <a:prstGeom prst="rect">
          <a:avLst/>
        </a:prstGeom>
        <a:noFill/>
      </xdr:spPr>
    </xdr:pic>
    <xdr:clientData fLocksWithSheet="0"/>
  </xdr:oneCellAnchor>
  <xdr:oneCellAnchor>
    <xdr:from>
      <xdr:col>24</xdr:col>
      <xdr:colOff>0</xdr:colOff>
      <xdr:row>25</xdr:row>
      <xdr:rowOff>0</xdr:rowOff>
    </xdr:from>
    <xdr:ext cx="857250" cy="857250"/>
    <xdr:pic>
      <xdr:nvPicPr>
        <xdr:cNvPr id="0" name="image686.png"/>
        <xdr:cNvPicPr preferRelativeResize="0"/>
      </xdr:nvPicPr>
      <xdr:blipFill>
        <a:blip cstate="print" r:embed="rId125"/>
        <a:stretch>
          <a:fillRect/>
        </a:stretch>
      </xdr:blipFill>
      <xdr:spPr>
        <a:prstGeom prst="rect">
          <a:avLst/>
        </a:prstGeom>
        <a:noFill/>
      </xdr:spPr>
    </xdr:pic>
    <xdr:clientData fLocksWithSheet="0"/>
  </xdr:oneCellAnchor>
  <xdr:oneCellAnchor>
    <xdr:from>
      <xdr:col>0</xdr:col>
      <xdr:colOff>0</xdr:colOff>
      <xdr:row>26</xdr:row>
      <xdr:rowOff>0</xdr:rowOff>
    </xdr:from>
    <xdr:ext cx="857250" cy="857250"/>
    <xdr:pic>
      <xdr:nvPicPr>
        <xdr:cNvPr id="0" name="image681.png"/>
        <xdr:cNvPicPr preferRelativeResize="0"/>
      </xdr:nvPicPr>
      <xdr:blipFill>
        <a:blip cstate="print" r:embed="rId126"/>
        <a:stretch>
          <a:fillRect/>
        </a:stretch>
      </xdr:blipFill>
      <xdr:spPr>
        <a:prstGeom prst="rect">
          <a:avLst/>
        </a:prstGeom>
        <a:noFill/>
      </xdr:spPr>
    </xdr:pic>
    <xdr:clientData fLocksWithSheet="0"/>
  </xdr:oneCellAnchor>
  <xdr:oneCellAnchor>
    <xdr:from>
      <xdr:col>6</xdr:col>
      <xdr:colOff>0</xdr:colOff>
      <xdr:row>26</xdr:row>
      <xdr:rowOff>0</xdr:rowOff>
    </xdr:from>
    <xdr:ext cx="857250" cy="857250"/>
    <xdr:pic>
      <xdr:nvPicPr>
        <xdr:cNvPr id="0" name="image684.png"/>
        <xdr:cNvPicPr preferRelativeResize="0"/>
      </xdr:nvPicPr>
      <xdr:blipFill>
        <a:blip cstate="print" r:embed="rId127"/>
        <a:stretch>
          <a:fillRect/>
        </a:stretch>
      </xdr:blipFill>
      <xdr:spPr>
        <a:prstGeom prst="rect">
          <a:avLst/>
        </a:prstGeom>
        <a:noFill/>
      </xdr:spPr>
    </xdr:pic>
    <xdr:clientData fLocksWithSheet="0"/>
  </xdr:oneCellAnchor>
  <xdr:oneCellAnchor>
    <xdr:from>
      <xdr:col>12</xdr:col>
      <xdr:colOff>0</xdr:colOff>
      <xdr:row>26</xdr:row>
      <xdr:rowOff>0</xdr:rowOff>
    </xdr:from>
    <xdr:ext cx="857250" cy="857250"/>
    <xdr:pic>
      <xdr:nvPicPr>
        <xdr:cNvPr id="0" name="image693.png"/>
        <xdr:cNvPicPr preferRelativeResize="0"/>
      </xdr:nvPicPr>
      <xdr:blipFill>
        <a:blip cstate="print" r:embed="rId128"/>
        <a:stretch>
          <a:fillRect/>
        </a:stretch>
      </xdr:blipFill>
      <xdr:spPr>
        <a:prstGeom prst="rect">
          <a:avLst/>
        </a:prstGeom>
        <a:noFill/>
      </xdr:spPr>
    </xdr:pic>
    <xdr:clientData fLocksWithSheet="0"/>
  </xdr:oneCellAnchor>
  <xdr:oneCellAnchor>
    <xdr:from>
      <xdr:col>18</xdr:col>
      <xdr:colOff>0</xdr:colOff>
      <xdr:row>26</xdr:row>
      <xdr:rowOff>0</xdr:rowOff>
    </xdr:from>
    <xdr:ext cx="857250" cy="857250"/>
    <xdr:pic>
      <xdr:nvPicPr>
        <xdr:cNvPr id="0" name="image682.png"/>
        <xdr:cNvPicPr preferRelativeResize="0"/>
      </xdr:nvPicPr>
      <xdr:blipFill>
        <a:blip cstate="print" r:embed="rId129"/>
        <a:stretch>
          <a:fillRect/>
        </a:stretch>
      </xdr:blipFill>
      <xdr:spPr>
        <a:prstGeom prst="rect">
          <a:avLst/>
        </a:prstGeom>
        <a:noFill/>
      </xdr:spPr>
    </xdr:pic>
    <xdr:clientData fLocksWithSheet="0"/>
  </xdr:oneCellAnchor>
  <xdr:oneCellAnchor>
    <xdr:from>
      <xdr:col>24</xdr:col>
      <xdr:colOff>0</xdr:colOff>
      <xdr:row>26</xdr:row>
      <xdr:rowOff>0</xdr:rowOff>
    </xdr:from>
    <xdr:ext cx="857250" cy="857250"/>
    <xdr:pic>
      <xdr:nvPicPr>
        <xdr:cNvPr id="0" name="image683.png"/>
        <xdr:cNvPicPr preferRelativeResize="0"/>
      </xdr:nvPicPr>
      <xdr:blipFill>
        <a:blip cstate="print" r:embed="rId130"/>
        <a:stretch>
          <a:fillRect/>
        </a:stretch>
      </xdr:blipFill>
      <xdr:spPr>
        <a:prstGeom prst="rect">
          <a:avLst/>
        </a:prstGeom>
        <a:noFill/>
      </xdr:spPr>
    </xdr:pic>
    <xdr:clientData fLocksWithSheet="0"/>
  </xdr:oneCellAnchor>
  <xdr:oneCellAnchor>
    <xdr:from>
      <xdr:col>0</xdr:col>
      <xdr:colOff>0</xdr:colOff>
      <xdr:row>27</xdr:row>
      <xdr:rowOff>0</xdr:rowOff>
    </xdr:from>
    <xdr:ext cx="857250" cy="857250"/>
    <xdr:pic>
      <xdr:nvPicPr>
        <xdr:cNvPr id="0" name="image706.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27</xdr:row>
      <xdr:rowOff>0</xdr:rowOff>
    </xdr:from>
    <xdr:ext cx="857250" cy="857250"/>
    <xdr:pic>
      <xdr:nvPicPr>
        <xdr:cNvPr id="0" name="image687.png"/>
        <xdr:cNvPicPr preferRelativeResize="0"/>
      </xdr:nvPicPr>
      <xdr:blipFill>
        <a:blip cstate="print" r:embed="rId132"/>
        <a:stretch>
          <a:fillRect/>
        </a:stretch>
      </xdr:blipFill>
      <xdr:spPr>
        <a:prstGeom prst="rect">
          <a:avLst/>
        </a:prstGeom>
        <a:noFill/>
      </xdr:spPr>
    </xdr:pic>
    <xdr:clientData fLocksWithSheet="0"/>
  </xdr:oneCellAnchor>
  <xdr:oneCellAnchor>
    <xdr:from>
      <xdr:col>12</xdr:col>
      <xdr:colOff>0</xdr:colOff>
      <xdr:row>27</xdr:row>
      <xdr:rowOff>0</xdr:rowOff>
    </xdr:from>
    <xdr:ext cx="857250" cy="857250"/>
    <xdr:pic>
      <xdr:nvPicPr>
        <xdr:cNvPr id="0" name="image739.png"/>
        <xdr:cNvPicPr preferRelativeResize="0"/>
      </xdr:nvPicPr>
      <xdr:blipFill>
        <a:blip cstate="print" r:embed="rId133"/>
        <a:stretch>
          <a:fillRect/>
        </a:stretch>
      </xdr:blipFill>
      <xdr:spPr>
        <a:prstGeom prst="rect">
          <a:avLst/>
        </a:prstGeom>
        <a:noFill/>
      </xdr:spPr>
    </xdr:pic>
    <xdr:clientData fLocksWithSheet="0"/>
  </xdr:oneCellAnchor>
  <xdr:oneCellAnchor>
    <xdr:from>
      <xdr:col>18</xdr:col>
      <xdr:colOff>0</xdr:colOff>
      <xdr:row>27</xdr:row>
      <xdr:rowOff>0</xdr:rowOff>
    </xdr:from>
    <xdr:ext cx="857250" cy="857250"/>
    <xdr:pic>
      <xdr:nvPicPr>
        <xdr:cNvPr id="0" name="image690.png"/>
        <xdr:cNvPicPr preferRelativeResize="0"/>
      </xdr:nvPicPr>
      <xdr:blipFill>
        <a:blip cstate="print" r:embed="rId134"/>
        <a:stretch>
          <a:fillRect/>
        </a:stretch>
      </xdr:blipFill>
      <xdr:spPr>
        <a:prstGeom prst="rect">
          <a:avLst/>
        </a:prstGeom>
        <a:noFill/>
      </xdr:spPr>
    </xdr:pic>
    <xdr:clientData fLocksWithSheet="0"/>
  </xdr:oneCellAnchor>
  <xdr:oneCellAnchor>
    <xdr:from>
      <xdr:col>24</xdr:col>
      <xdr:colOff>0</xdr:colOff>
      <xdr:row>27</xdr:row>
      <xdr:rowOff>0</xdr:rowOff>
    </xdr:from>
    <xdr:ext cx="857250" cy="857250"/>
    <xdr:pic>
      <xdr:nvPicPr>
        <xdr:cNvPr id="0" name="image689.png"/>
        <xdr:cNvPicPr preferRelativeResize="0"/>
      </xdr:nvPicPr>
      <xdr:blipFill>
        <a:blip cstate="print" r:embed="rId135"/>
        <a:stretch>
          <a:fillRect/>
        </a:stretch>
      </xdr:blipFill>
      <xdr:spPr>
        <a:prstGeom prst="rect">
          <a:avLst/>
        </a:prstGeom>
        <a:noFill/>
      </xdr:spPr>
    </xdr:pic>
    <xdr:clientData fLocksWithSheet="0"/>
  </xdr:oneCellAnchor>
  <xdr:oneCellAnchor>
    <xdr:from>
      <xdr:col>0</xdr:col>
      <xdr:colOff>0</xdr:colOff>
      <xdr:row>28</xdr:row>
      <xdr:rowOff>0</xdr:rowOff>
    </xdr:from>
    <xdr:ext cx="857250" cy="857250"/>
    <xdr:pic>
      <xdr:nvPicPr>
        <xdr:cNvPr id="0" name="image688.png"/>
        <xdr:cNvPicPr preferRelativeResize="0"/>
      </xdr:nvPicPr>
      <xdr:blipFill>
        <a:blip cstate="print" r:embed="rId136"/>
        <a:stretch>
          <a:fillRect/>
        </a:stretch>
      </xdr:blipFill>
      <xdr:spPr>
        <a:prstGeom prst="rect">
          <a:avLst/>
        </a:prstGeom>
        <a:noFill/>
      </xdr:spPr>
    </xdr:pic>
    <xdr:clientData fLocksWithSheet="0"/>
  </xdr:oneCellAnchor>
  <xdr:oneCellAnchor>
    <xdr:from>
      <xdr:col>6</xdr:col>
      <xdr:colOff>0</xdr:colOff>
      <xdr:row>28</xdr:row>
      <xdr:rowOff>0</xdr:rowOff>
    </xdr:from>
    <xdr:ext cx="857250" cy="857250"/>
    <xdr:pic>
      <xdr:nvPicPr>
        <xdr:cNvPr id="0" name="image691.png"/>
        <xdr:cNvPicPr preferRelativeResize="0"/>
      </xdr:nvPicPr>
      <xdr:blipFill>
        <a:blip cstate="print" r:embed="rId137"/>
        <a:stretch>
          <a:fillRect/>
        </a:stretch>
      </xdr:blipFill>
      <xdr:spPr>
        <a:prstGeom prst="rect">
          <a:avLst/>
        </a:prstGeom>
        <a:noFill/>
      </xdr:spPr>
    </xdr:pic>
    <xdr:clientData fLocksWithSheet="0"/>
  </xdr:oneCellAnchor>
  <xdr:oneCellAnchor>
    <xdr:from>
      <xdr:col>12</xdr:col>
      <xdr:colOff>0</xdr:colOff>
      <xdr:row>28</xdr:row>
      <xdr:rowOff>0</xdr:rowOff>
    </xdr:from>
    <xdr:ext cx="857250" cy="857250"/>
    <xdr:pic>
      <xdr:nvPicPr>
        <xdr:cNvPr id="0" name="image685.png"/>
        <xdr:cNvPicPr preferRelativeResize="0"/>
      </xdr:nvPicPr>
      <xdr:blipFill>
        <a:blip cstate="print" r:embed="rId138"/>
        <a:stretch>
          <a:fillRect/>
        </a:stretch>
      </xdr:blipFill>
      <xdr:spPr>
        <a:prstGeom prst="rect">
          <a:avLst/>
        </a:prstGeom>
        <a:noFill/>
      </xdr:spPr>
    </xdr:pic>
    <xdr:clientData fLocksWithSheet="0"/>
  </xdr:oneCellAnchor>
  <xdr:oneCellAnchor>
    <xdr:from>
      <xdr:col>18</xdr:col>
      <xdr:colOff>0</xdr:colOff>
      <xdr:row>28</xdr:row>
      <xdr:rowOff>0</xdr:rowOff>
    </xdr:from>
    <xdr:ext cx="857250" cy="857250"/>
    <xdr:pic>
      <xdr:nvPicPr>
        <xdr:cNvPr id="0" name="image692.png"/>
        <xdr:cNvPicPr preferRelativeResize="0"/>
      </xdr:nvPicPr>
      <xdr:blipFill>
        <a:blip cstate="print" r:embed="rId139"/>
        <a:stretch>
          <a:fillRect/>
        </a:stretch>
      </xdr:blipFill>
      <xdr:spPr>
        <a:prstGeom prst="rect">
          <a:avLst/>
        </a:prstGeom>
        <a:noFill/>
      </xdr:spPr>
    </xdr:pic>
    <xdr:clientData fLocksWithSheet="0"/>
  </xdr:oneCellAnchor>
  <xdr:oneCellAnchor>
    <xdr:from>
      <xdr:col>24</xdr:col>
      <xdr:colOff>0</xdr:colOff>
      <xdr:row>28</xdr:row>
      <xdr:rowOff>0</xdr:rowOff>
    </xdr:from>
    <xdr:ext cx="857250" cy="857250"/>
    <xdr:pic>
      <xdr:nvPicPr>
        <xdr:cNvPr id="0" name="image705.png"/>
        <xdr:cNvPicPr preferRelativeResize="0"/>
      </xdr:nvPicPr>
      <xdr:blipFill>
        <a:blip cstate="print" r:embed="rId140"/>
        <a:stretch>
          <a:fillRect/>
        </a:stretch>
      </xdr:blipFill>
      <xdr:spPr>
        <a:prstGeom prst="rect">
          <a:avLst/>
        </a:prstGeom>
        <a:noFill/>
      </xdr:spPr>
    </xdr:pic>
    <xdr:clientData fLocksWithSheet="0"/>
  </xdr:oneCellAnchor>
  <xdr:oneCellAnchor>
    <xdr:from>
      <xdr:col>0</xdr:col>
      <xdr:colOff>0</xdr:colOff>
      <xdr:row>29</xdr:row>
      <xdr:rowOff>0</xdr:rowOff>
    </xdr:from>
    <xdr:ext cx="857250" cy="857250"/>
    <xdr:pic>
      <xdr:nvPicPr>
        <xdr:cNvPr id="0" name="image698.png"/>
        <xdr:cNvPicPr preferRelativeResize="0"/>
      </xdr:nvPicPr>
      <xdr:blipFill>
        <a:blip cstate="print" r:embed="rId141"/>
        <a:stretch>
          <a:fillRect/>
        </a:stretch>
      </xdr:blipFill>
      <xdr:spPr>
        <a:prstGeom prst="rect">
          <a:avLst/>
        </a:prstGeom>
        <a:noFill/>
      </xdr:spPr>
    </xdr:pic>
    <xdr:clientData fLocksWithSheet="0"/>
  </xdr:oneCellAnchor>
  <xdr:oneCellAnchor>
    <xdr:from>
      <xdr:col>6</xdr:col>
      <xdr:colOff>0</xdr:colOff>
      <xdr:row>29</xdr:row>
      <xdr:rowOff>0</xdr:rowOff>
    </xdr:from>
    <xdr:ext cx="857250" cy="857250"/>
    <xdr:pic>
      <xdr:nvPicPr>
        <xdr:cNvPr id="0" name="image700.png"/>
        <xdr:cNvPicPr preferRelativeResize="0"/>
      </xdr:nvPicPr>
      <xdr:blipFill>
        <a:blip cstate="print" r:embed="rId142"/>
        <a:stretch>
          <a:fillRect/>
        </a:stretch>
      </xdr:blipFill>
      <xdr:spPr>
        <a:prstGeom prst="rect">
          <a:avLst/>
        </a:prstGeom>
        <a:noFill/>
      </xdr:spPr>
    </xdr:pic>
    <xdr:clientData fLocksWithSheet="0"/>
  </xdr:oneCellAnchor>
  <xdr:oneCellAnchor>
    <xdr:from>
      <xdr:col>12</xdr:col>
      <xdr:colOff>0</xdr:colOff>
      <xdr:row>29</xdr:row>
      <xdr:rowOff>0</xdr:rowOff>
    </xdr:from>
    <xdr:ext cx="857250" cy="857250"/>
    <xdr:pic>
      <xdr:nvPicPr>
        <xdr:cNvPr id="0" name="image703.png"/>
        <xdr:cNvPicPr preferRelativeResize="0"/>
      </xdr:nvPicPr>
      <xdr:blipFill>
        <a:blip cstate="print" r:embed="rId143"/>
        <a:stretch>
          <a:fillRect/>
        </a:stretch>
      </xdr:blipFill>
      <xdr:spPr>
        <a:prstGeom prst="rect">
          <a:avLst/>
        </a:prstGeom>
        <a:noFill/>
      </xdr:spPr>
    </xdr:pic>
    <xdr:clientData fLocksWithSheet="0"/>
  </xdr:oneCellAnchor>
  <xdr:oneCellAnchor>
    <xdr:from>
      <xdr:col>18</xdr:col>
      <xdr:colOff>0</xdr:colOff>
      <xdr:row>29</xdr:row>
      <xdr:rowOff>0</xdr:rowOff>
    </xdr:from>
    <xdr:ext cx="857250" cy="857250"/>
    <xdr:pic>
      <xdr:nvPicPr>
        <xdr:cNvPr id="0" name="image702.png"/>
        <xdr:cNvPicPr preferRelativeResize="0"/>
      </xdr:nvPicPr>
      <xdr:blipFill>
        <a:blip cstate="print" r:embed="rId144"/>
        <a:stretch>
          <a:fillRect/>
        </a:stretch>
      </xdr:blipFill>
      <xdr:spPr>
        <a:prstGeom prst="rect">
          <a:avLst/>
        </a:prstGeom>
        <a:noFill/>
      </xdr:spPr>
    </xdr:pic>
    <xdr:clientData fLocksWithSheet="0"/>
  </xdr:oneCellAnchor>
  <xdr:oneCellAnchor>
    <xdr:from>
      <xdr:col>24</xdr:col>
      <xdr:colOff>0</xdr:colOff>
      <xdr:row>29</xdr:row>
      <xdr:rowOff>0</xdr:rowOff>
    </xdr:from>
    <xdr:ext cx="857250" cy="857250"/>
    <xdr:pic>
      <xdr:nvPicPr>
        <xdr:cNvPr id="0" name="image696.png"/>
        <xdr:cNvPicPr preferRelativeResize="0"/>
      </xdr:nvPicPr>
      <xdr:blipFill>
        <a:blip cstate="print" r:embed="rId145"/>
        <a:stretch>
          <a:fillRect/>
        </a:stretch>
      </xdr:blipFill>
      <xdr:spPr>
        <a:prstGeom prst="rect">
          <a:avLst/>
        </a:prstGeom>
        <a:noFill/>
      </xdr:spPr>
    </xdr:pic>
    <xdr:clientData fLocksWithSheet="0"/>
  </xdr:oneCellAnchor>
  <xdr:oneCellAnchor>
    <xdr:from>
      <xdr:col>0</xdr:col>
      <xdr:colOff>0</xdr:colOff>
      <xdr:row>30</xdr:row>
      <xdr:rowOff>0</xdr:rowOff>
    </xdr:from>
    <xdr:ext cx="857250" cy="857250"/>
    <xdr:pic>
      <xdr:nvPicPr>
        <xdr:cNvPr id="0" name="image694.png"/>
        <xdr:cNvPicPr preferRelativeResize="0"/>
      </xdr:nvPicPr>
      <xdr:blipFill>
        <a:blip cstate="print" r:embed="rId146"/>
        <a:stretch>
          <a:fillRect/>
        </a:stretch>
      </xdr:blipFill>
      <xdr:spPr>
        <a:prstGeom prst="rect">
          <a:avLst/>
        </a:prstGeom>
        <a:noFill/>
      </xdr:spPr>
    </xdr:pic>
    <xdr:clientData fLocksWithSheet="0"/>
  </xdr:oneCellAnchor>
  <xdr:oneCellAnchor>
    <xdr:from>
      <xdr:col>6</xdr:col>
      <xdr:colOff>0</xdr:colOff>
      <xdr:row>30</xdr:row>
      <xdr:rowOff>0</xdr:rowOff>
    </xdr:from>
    <xdr:ext cx="857250" cy="857250"/>
    <xdr:pic>
      <xdr:nvPicPr>
        <xdr:cNvPr id="0" name="image697.png"/>
        <xdr:cNvPicPr preferRelativeResize="0"/>
      </xdr:nvPicPr>
      <xdr:blipFill>
        <a:blip cstate="print" r:embed="rId147"/>
        <a:stretch>
          <a:fillRect/>
        </a:stretch>
      </xdr:blipFill>
      <xdr:spPr>
        <a:prstGeom prst="rect">
          <a:avLst/>
        </a:prstGeom>
        <a:noFill/>
      </xdr:spPr>
    </xdr:pic>
    <xdr:clientData fLocksWithSheet="0"/>
  </xdr:oneCellAnchor>
  <xdr:oneCellAnchor>
    <xdr:from>
      <xdr:col>12</xdr:col>
      <xdr:colOff>0</xdr:colOff>
      <xdr:row>30</xdr:row>
      <xdr:rowOff>0</xdr:rowOff>
    </xdr:from>
    <xdr:ext cx="857250" cy="857250"/>
    <xdr:pic>
      <xdr:nvPicPr>
        <xdr:cNvPr id="0" name="image704.png"/>
        <xdr:cNvPicPr preferRelativeResize="0"/>
      </xdr:nvPicPr>
      <xdr:blipFill>
        <a:blip cstate="print" r:embed="rId148"/>
        <a:stretch>
          <a:fillRect/>
        </a:stretch>
      </xdr:blipFill>
      <xdr:spPr>
        <a:prstGeom prst="rect">
          <a:avLst/>
        </a:prstGeom>
        <a:noFill/>
      </xdr:spPr>
    </xdr:pic>
    <xdr:clientData fLocksWithSheet="0"/>
  </xdr:oneCellAnchor>
  <xdr:oneCellAnchor>
    <xdr:from>
      <xdr:col>18</xdr:col>
      <xdr:colOff>0</xdr:colOff>
      <xdr:row>30</xdr:row>
      <xdr:rowOff>0</xdr:rowOff>
    </xdr:from>
    <xdr:ext cx="857250" cy="857250"/>
    <xdr:pic>
      <xdr:nvPicPr>
        <xdr:cNvPr id="0" name="image699.png"/>
        <xdr:cNvPicPr preferRelativeResize="0"/>
      </xdr:nvPicPr>
      <xdr:blipFill>
        <a:blip cstate="print" r:embed="rId149"/>
        <a:stretch>
          <a:fillRect/>
        </a:stretch>
      </xdr:blipFill>
      <xdr:spPr>
        <a:prstGeom prst="rect">
          <a:avLst/>
        </a:prstGeom>
        <a:noFill/>
      </xdr:spPr>
    </xdr:pic>
    <xdr:clientData fLocksWithSheet="0"/>
  </xdr:oneCellAnchor>
  <xdr:oneCellAnchor>
    <xdr:from>
      <xdr:col>24</xdr:col>
      <xdr:colOff>0</xdr:colOff>
      <xdr:row>30</xdr:row>
      <xdr:rowOff>0</xdr:rowOff>
    </xdr:from>
    <xdr:ext cx="857250" cy="857250"/>
    <xdr:pic>
      <xdr:nvPicPr>
        <xdr:cNvPr id="0" name="image707.png"/>
        <xdr:cNvPicPr preferRelativeResize="0"/>
      </xdr:nvPicPr>
      <xdr:blipFill>
        <a:blip cstate="print" r:embed="rId150"/>
        <a:stretch>
          <a:fillRect/>
        </a:stretch>
      </xdr:blipFill>
      <xdr:spPr>
        <a:prstGeom prst="rect">
          <a:avLst/>
        </a:prstGeom>
        <a:noFill/>
      </xdr:spPr>
    </xdr:pic>
    <xdr:clientData fLocksWithSheet="0"/>
  </xdr:oneCellAnchor>
  <xdr:oneCellAnchor>
    <xdr:from>
      <xdr:col>0</xdr:col>
      <xdr:colOff>0</xdr:colOff>
      <xdr:row>31</xdr:row>
      <xdr:rowOff>0</xdr:rowOff>
    </xdr:from>
    <xdr:ext cx="857250" cy="857250"/>
    <xdr:pic>
      <xdr:nvPicPr>
        <xdr:cNvPr id="0" name="image713.png"/>
        <xdr:cNvPicPr preferRelativeResize="0"/>
      </xdr:nvPicPr>
      <xdr:blipFill>
        <a:blip cstate="print" r:embed="rId151"/>
        <a:stretch>
          <a:fillRect/>
        </a:stretch>
      </xdr:blipFill>
      <xdr:spPr>
        <a:prstGeom prst="rect">
          <a:avLst/>
        </a:prstGeom>
        <a:noFill/>
      </xdr:spPr>
    </xdr:pic>
    <xdr:clientData fLocksWithSheet="0"/>
  </xdr:oneCellAnchor>
  <xdr:oneCellAnchor>
    <xdr:from>
      <xdr:col>6</xdr:col>
      <xdr:colOff>0</xdr:colOff>
      <xdr:row>31</xdr:row>
      <xdr:rowOff>0</xdr:rowOff>
    </xdr:from>
    <xdr:ext cx="857250" cy="857250"/>
    <xdr:pic>
      <xdr:nvPicPr>
        <xdr:cNvPr id="0" name="image708.png"/>
        <xdr:cNvPicPr preferRelativeResize="0"/>
      </xdr:nvPicPr>
      <xdr:blipFill>
        <a:blip cstate="print" r:embed="rId152"/>
        <a:stretch>
          <a:fillRect/>
        </a:stretch>
      </xdr:blipFill>
      <xdr:spPr>
        <a:prstGeom prst="rect">
          <a:avLst/>
        </a:prstGeom>
        <a:noFill/>
      </xdr:spPr>
    </xdr:pic>
    <xdr:clientData fLocksWithSheet="0"/>
  </xdr:oneCellAnchor>
  <xdr:oneCellAnchor>
    <xdr:from>
      <xdr:col>12</xdr:col>
      <xdr:colOff>0</xdr:colOff>
      <xdr:row>31</xdr:row>
      <xdr:rowOff>0</xdr:rowOff>
    </xdr:from>
    <xdr:ext cx="857250" cy="857250"/>
    <xdr:pic>
      <xdr:nvPicPr>
        <xdr:cNvPr id="0" name="image716.png"/>
        <xdr:cNvPicPr preferRelativeResize="0"/>
      </xdr:nvPicPr>
      <xdr:blipFill>
        <a:blip cstate="print" r:embed="rId153"/>
        <a:stretch>
          <a:fillRect/>
        </a:stretch>
      </xdr:blipFill>
      <xdr:spPr>
        <a:prstGeom prst="rect">
          <a:avLst/>
        </a:prstGeom>
        <a:noFill/>
      </xdr:spPr>
    </xdr:pic>
    <xdr:clientData fLocksWithSheet="0"/>
  </xdr:oneCellAnchor>
  <xdr:oneCellAnchor>
    <xdr:from>
      <xdr:col>18</xdr:col>
      <xdr:colOff>0</xdr:colOff>
      <xdr:row>31</xdr:row>
      <xdr:rowOff>0</xdr:rowOff>
    </xdr:from>
    <xdr:ext cx="857250" cy="857250"/>
    <xdr:pic>
      <xdr:nvPicPr>
        <xdr:cNvPr id="0" name="image709.png"/>
        <xdr:cNvPicPr preferRelativeResize="0"/>
      </xdr:nvPicPr>
      <xdr:blipFill>
        <a:blip cstate="print" r:embed="rId154"/>
        <a:stretch>
          <a:fillRect/>
        </a:stretch>
      </xdr:blipFill>
      <xdr:spPr>
        <a:prstGeom prst="rect">
          <a:avLst/>
        </a:prstGeom>
        <a:noFill/>
      </xdr:spPr>
    </xdr:pic>
    <xdr:clientData fLocksWithSheet="0"/>
  </xdr:oneCellAnchor>
  <xdr:oneCellAnchor>
    <xdr:from>
      <xdr:col>24</xdr:col>
      <xdr:colOff>0</xdr:colOff>
      <xdr:row>31</xdr:row>
      <xdr:rowOff>0</xdr:rowOff>
    </xdr:from>
    <xdr:ext cx="857250" cy="857250"/>
    <xdr:pic>
      <xdr:nvPicPr>
        <xdr:cNvPr id="0" name="image712.png"/>
        <xdr:cNvPicPr preferRelativeResize="0"/>
      </xdr:nvPicPr>
      <xdr:blipFill>
        <a:blip cstate="print" r:embed="rId155"/>
        <a:stretch>
          <a:fillRect/>
        </a:stretch>
      </xdr:blipFill>
      <xdr:spPr>
        <a:prstGeom prst="rect">
          <a:avLst/>
        </a:prstGeom>
        <a:noFill/>
      </xdr:spPr>
    </xdr:pic>
    <xdr:clientData fLocksWithSheet="0"/>
  </xdr:oneCellAnchor>
  <xdr:oneCellAnchor>
    <xdr:from>
      <xdr:col>0</xdr:col>
      <xdr:colOff>0</xdr:colOff>
      <xdr:row>32</xdr:row>
      <xdr:rowOff>0</xdr:rowOff>
    </xdr:from>
    <xdr:ext cx="857250" cy="857250"/>
    <xdr:pic>
      <xdr:nvPicPr>
        <xdr:cNvPr id="0" name="image715.png"/>
        <xdr:cNvPicPr preferRelativeResize="0"/>
      </xdr:nvPicPr>
      <xdr:blipFill>
        <a:blip cstate="print" r:embed="rId156"/>
        <a:stretch>
          <a:fillRect/>
        </a:stretch>
      </xdr:blipFill>
      <xdr:spPr>
        <a:prstGeom prst="rect">
          <a:avLst/>
        </a:prstGeom>
        <a:noFill/>
      </xdr:spPr>
    </xdr:pic>
    <xdr:clientData fLocksWithSheet="0"/>
  </xdr:oneCellAnchor>
  <xdr:oneCellAnchor>
    <xdr:from>
      <xdr:col>6</xdr:col>
      <xdr:colOff>0</xdr:colOff>
      <xdr:row>32</xdr:row>
      <xdr:rowOff>0</xdr:rowOff>
    </xdr:from>
    <xdr:ext cx="857250" cy="857250"/>
    <xdr:pic>
      <xdr:nvPicPr>
        <xdr:cNvPr id="0" name="image710.png"/>
        <xdr:cNvPicPr preferRelativeResize="0"/>
      </xdr:nvPicPr>
      <xdr:blipFill>
        <a:blip cstate="print" r:embed="rId157"/>
        <a:stretch>
          <a:fillRect/>
        </a:stretch>
      </xdr:blipFill>
      <xdr:spPr>
        <a:prstGeom prst="rect">
          <a:avLst/>
        </a:prstGeom>
        <a:noFill/>
      </xdr:spPr>
    </xdr:pic>
    <xdr:clientData fLocksWithSheet="0"/>
  </xdr:oneCellAnchor>
  <xdr:oneCellAnchor>
    <xdr:from>
      <xdr:col>12</xdr:col>
      <xdr:colOff>0</xdr:colOff>
      <xdr:row>32</xdr:row>
      <xdr:rowOff>0</xdr:rowOff>
    </xdr:from>
    <xdr:ext cx="857250" cy="857250"/>
    <xdr:pic>
      <xdr:nvPicPr>
        <xdr:cNvPr id="0" name="image714.png"/>
        <xdr:cNvPicPr preferRelativeResize="0"/>
      </xdr:nvPicPr>
      <xdr:blipFill>
        <a:blip cstate="print" r:embed="rId158"/>
        <a:stretch>
          <a:fillRect/>
        </a:stretch>
      </xdr:blipFill>
      <xdr:spPr>
        <a:prstGeom prst="rect">
          <a:avLst/>
        </a:prstGeom>
        <a:noFill/>
      </xdr:spPr>
    </xdr:pic>
    <xdr:clientData fLocksWithSheet="0"/>
  </xdr:oneCellAnchor>
  <xdr:oneCellAnchor>
    <xdr:from>
      <xdr:col>18</xdr:col>
      <xdr:colOff>0</xdr:colOff>
      <xdr:row>32</xdr:row>
      <xdr:rowOff>0</xdr:rowOff>
    </xdr:from>
    <xdr:ext cx="638175" cy="857250"/>
    <xdr:pic>
      <xdr:nvPicPr>
        <xdr:cNvPr id="0" name="image718.png"/>
        <xdr:cNvPicPr preferRelativeResize="0"/>
      </xdr:nvPicPr>
      <xdr:blipFill>
        <a:blip cstate="print" r:embed="rId159"/>
        <a:stretch>
          <a:fillRect/>
        </a:stretch>
      </xdr:blipFill>
      <xdr:spPr>
        <a:prstGeom prst="rect">
          <a:avLst/>
        </a:prstGeom>
        <a:noFill/>
      </xdr:spPr>
    </xdr:pic>
    <xdr:clientData fLocksWithSheet="0"/>
  </xdr:oneCellAnchor>
  <xdr:oneCellAnchor>
    <xdr:from>
      <xdr:col>24</xdr:col>
      <xdr:colOff>0</xdr:colOff>
      <xdr:row>32</xdr:row>
      <xdr:rowOff>0</xdr:rowOff>
    </xdr:from>
    <xdr:ext cx="857250" cy="857250"/>
    <xdr:pic>
      <xdr:nvPicPr>
        <xdr:cNvPr id="0" name="image730.png"/>
        <xdr:cNvPicPr preferRelativeResize="0"/>
      </xdr:nvPicPr>
      <xdr:blipFill>
        <a:blip cstate="print" r:embed="rId160"/>
        <a:stretch>
          <a:fillRect/>
        </a:stretch>
      </xdr:blipFill>
      <xdr:spPr>
        <a:prstGeom prst="rect">
          <a:avLst/>
        </a:prstGeom>
        <a:noFill/>
      </xdr:spPr>
    </xdr:pic>
    <xdr:clientData fLocksWithSheet="0"/>
  </xdr:oneCellAnchor>
  <xdr:oneCellAnchor>
    <xdr:from>
      <xdr:col>0</xdr:col>
      <xdr:colOff>0</xdr:colOff>
      <xdr:row>33</xdr:row>
      <xdr:rowOff>0</xdr:rowOff>
    </xdr:from>
    <xdr:ext cx="857250" cy="857250"/>
    <xdr:pic>
      <xdr:nvPicPr>
        <xdr:cNvPr id="0" name="image719.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33</xdr:row>
      <xdr:rowOff>0</xdr:rowOff>
    </xdr:from>
    <xdr:ext cx="857250" cy="857250"/>
    <xdr:pic>
      <xdr:nvPicPr>
        <xdr:cNvPr id="0" name="image725.png"/>
        <xdr:cNvPicPr preferRelativeResize="0"/>
      </xdr:nvPicPr>
      <xdr:blipFill>
        <a:blip cstate="print" r:embed="rId162"/>
        <a:stretch>
          <a:fillRect/>
        </a:stretch>
      </xdr:blipFill>
      <xdr:spPr>
        <a:prstGeom prst="rect">
          <a:avLst/>
        </a:prstGeom>
        <a:noFill/>
      </xdr:spPr>
    </xdr:pic>
    <xdr:clientData fLocksWithSheet="0"/>
  </xdr:oneCellAnchor>
  <xdr:oneCellAnchor>
    <xdr:from>
      <xdr:col>12</xdr:col>
      <xdr:colOff>0</xdr:colOff>
      <xdr:row>33</xdr:row>
      <xdr:rowOff>0</xdr:rowOff>
    </xdr:from>
    <xdr:ext cx="857250" cy="857250"/>
    <xdr:pic>
      <xdr:nvPicPr>
        <xdr:cNvPr id="0" name="image720.png"/>
        <xdr:cNvPicPr preferRelativeResize="0"/>
      </xdr:nvPicPr>
      <xdr:blipFill>
        <a:blip cstate="print" r:embed="rId163"/>
        <a:stretch>
          <a:fillRect/>
        </a:stretch>
      </xdr:blipFill>
      <xdr:spPr>
        <a:prstGeom prst="rect">
          <a:avLst/>
        </a:prstGeom>
        <a:noFill/>
      </xdr:spPr>
    </xdr:pic>
    <xdr:clientData fLocksWithSheet="0"/>
  </xdr:oneCellAnchor>
  <xdr:oneCellAnchor>
    <xdr:from>
      <xdr:col>18</xdr:col>
      <xdr:colOff>0</xdr:colOff>
      <xdr:row>33</xdr:row>
      <xdr:rowOff>0</xdr:rowOff>
    </xdr:from>
    <xdr:ext cx="857250" cy="857250"/>
    <xdr:pic>
      <xdr:nvPicPr>
        <xdr:cNvPr id="0" name="image717.png"/>
        <xdr:cNvPicPr preferRelativeResize="0"/>
      </xdr:nvPicPr>
      <xdr:blipFill>
        <a:blip cstate="print" r:embed="rId164"/>
        <a:stretch>
          <a:fillRect/>
        </a:stretch>
      </xdr:blipFill>
      <xdr:spPr>
        <a:prstGeom prst="rect">
          <a:avLst/>
        </a:prstGeom>
        <a:noFill/>
      </xdr:spPr>
    </xdr:pic>
    <xdr:clientData fLocksWithSheet="0"/>
  </xdr:oneCellAnchor>
  <xdr:oneCellAnchor>
    <xdr:from>
      <xdr:col>24</xdr:col>
      <xdr:colOff>0</xdr:colOff>
      <xdr:row>33</xdr:row>
      <xdr:rowOff>0</xdr:rowOff>
    </xdr:from>
    <xdr:ext cx="857250" cy="857250"/>
    <xdr:pic>
      <xdr:nvPicPr>
        <xdr:cNvPr id="0" name="image723.png"/>
        <xdr:cNvPicPr preferRelativeResize="0"/>
      </xdr:nvPicPr>
      <xdr:blipFill>
        <a:blip cstate="print" r:embed="rId165"/>
        <a:stretch>
          <a:fillRect/>
        </a:stretch>
      </xdr:blipFill>
      <xdr:spPr>
        <a:prstGeom prst="rect">
          <a:avLst/>
        </a:prstGeom>
        <a:noFill/>
      </xdr:spPr>
    </xdr:pic>
    <xdr:clientData fLocksWithSheet="0"/>
  </xdr:oneCellAnchor>
  <xdr:oneCellAnchor>
    <xdr:from>
      <xdr:col>0</xdr:col>
      <xdr:colOff>0</xdr:colOff>
      <xdr:row>34</xdr:row>
      <xdr:rowOff>0</xdr:rowOff>
    </xdr:from>
    <xdr:ext cx="857250" cy="857250"/>
    <xdr:pic>
      <xdr:nvPicPr>
        <xdr:cNvPr id="0" name="image727.png"/>
        <xdr:cNvPicPr preferRelativeResize="0"/>
      </xdr:nvPicPr>
      <xdr:blipFill>
        <a:blip cstate="print" r:embed="rId166"/>
        <a:stretch>
          <a:fillRect/>
        </a:stretch>
      </xdr:blipFill>
      <xdr:spPr>
        <a:prstGeom prst="rect">
          <a:avLst/>
        </a:prstGeom>
        <a:noFill/>
      </xdr:spPr>
    </xdr:pic>
    <xdr:clientData fLocksWithSheet="0"/>
  </xdr:oneCellAnchor>
  <xdr:oneCellAnchor>
    <xdr:from>
      <xdr:col>6</xdr:col>
      <xdr:colOff>0</xdr:colOff>
      <xdr:row>34</xdr:row>
      <xdr:rowOff>0</xdr:rowOff>
    </xdr:from>
    <xdr:ext cx="857250" cy="857250"/>
    <xdr:pic>
      <xdr:nvPicPr>
        <xdr:cNvPr id="0" name="image724.png"/>
        <xdr:cNvPicPr preferRelativeResize="0"/>
      </xdr:nvPicPr>
      <xdr:blipFill>
        <a:blip cstate="print" r:embed="rId167"/>
        <a:stretch>
          <a:fillRect/>
        </a:stretch>
      </xdr:blipFill>
      <xdr:spPr>
        <a:prstGeom prst="rect">
          <a:avLst/>
        </a:prstGeom>
        <a:noFill/>
      </xdr:spPr>
    </xdr:pic>
    <xdr:clientData fLocksWithSheet="0"/>
  </xdr:oneCellAnchor>
  <xdr:oneCellAnchor>
    <xdr:from>
      <xdr:col>12</xdr:col>
      <xdr:colOff>0</xdr:colOff>
      <xdr:row>34</xdr:row>
      <xdr:rowOff>0</xdr:rowOff>
    </xdr:from>
    <xdr:ext cx="857250" cy="857250"/>
    <xdr:pic>
      <xdr:nvPicPr>
        <xdr:cNvPr id="0" name="image726.png"/>
        <xdr:cNvPicPr preferRelativeResize="0"/>
      </xdr:nvPicPr>
      <xdr:blipFill>
        <a:blip cstate="print" r:embed="rId168"/>
        <a:stretch>
          <a:fillRect/>
        </a:stretch>
      </xdr:blipFill>
      <xdr:spPr>
        <a:prstGeom prst="rect">
          <a:avLst/>
        </a:prstGeom>
        <a:noFill/>
      </xdr:spPr>
    </xdr:pic>
    <xdr:clientData fLocksWithSheet="0"/>
  </xdr:oneCellAnchor>
  <xdr:oneCellAnchor>
    <xdr:from>
      <xdr:col>18</xdr:col>
      <xdr:colOff>0</xdr:colOff>
      <xdr:row>34</xdr:row>
      <xdr:rowOff>0</xdr:rowOff>
    </xdr:from>
    <xdr:ext cx="857250" cy="857250"/>
    <xdr:pic>
      <xdr:nvPicPr>
        <xdr:cNvPr id="0" name="image729.png"/>
        <xdr:cNvPicPr preferRelativeResize="0"/>
      </xdr:nvPicPr>
      <xdr:blipFill>
        <a:blip cstate="print" r:embed="rId169"/>
        <a:stretch>
          <a:fillRect/>
        </a:stretch>
      </xdr:blipFill>
      <xdr:spPr>
        <a:prstGeom prst="rect">
          <a:avLst/>
        </a:prstGeom>
        <a:noFill/>
      </xdr:spPr>
    </xdr:pic>
    <xdr:clientData fLocksWithSheet="0"/>
  </xdr:oneCellAnchor>
  <xdr:oneCellAnchor>
    <xdr:from>
      <xdr:col>24</xdr:col>
      <xdr:colOff>0</xdr:colOff>
      <xdr:row>34</xdr:row>
      <xdr:rowOff>0</xdr:rowOff>
    </xdr:from>
    <xdr:ext cx="857250" cy="857250"/>
    <xdr:pic>
      <xdr:nvPicPr>
        <xdr:cNvPr id="0" name="image731.png"/>
        <xdr:cNvPicPr preferRelativeResize="0"/>
      </xdr:nvPicPr>
      <xdr:blipFill>
        <a:blip cstate="print" r:embed="rId170"/>
        <a:stretch>
          <a:fillRect/>
        </a:stretch>
      </xdr:blipFill>
      <xdr:spPr>
        <a:prstGeom prst="rect">
          <a:avLst/>
        </a:prstGeom>
        <a:noFill/>
      </xdr:spPr>
    </xdr:pic>
    <xdr:clientData fLocksWithSheet="0"/>
  </xdr:oneCellAnchor>
  <xdr:oneCellAnchor>
    <xdr:from>
      <xdr:col>0</xdr:col>
      <xdr:colOff>0</xdr:colOff>
      <xdr:row>35</xdr:row>
      <xdr:rowOff>0</xdr:rowOff>
    </xdr:from>
    <xdr:ext cx="857250" cy="857250"/>
    <xdr:pic>
      <xdr:nvPicPr>
        <xdr:cNvPr id="0" name="image722.png"/>
        <xdr:cNvPicPr preferRelativeResize="0"/>
      </xdr:nvPicPr>
      <xdr:blipFill>
        <a:blip cstate="print" r:embed="rId171"/>
        <a:stretch>
          <a:fillRect/>
        </a:stretch>
      </xdr:blipFill>
      <xdr:spPr>
        <a:prstGeom prst="rect">
          <a:avLst/>
        </a:prstGeom>
        <a:noFill/>
      </xdr:spPr>
    </xdr:pic>
    <xdr:clientData fLocksWithSheet="0"/>
  </xdr:oneCellAnchor>
  <xdr:oneCellAnchor>
    <xdr:from>
      <xdr:col>6</xdr:col>
      <xdr:colOff>0</xdr:colOff>
      <xdr:row>35</xdr:row>
      <xdr:rowOff>0</xdr:rowOff>
    </xdr:from>
    <xdr:ext cx="857250" cy="857250"/>
    <xdr:pic>
      <xdr:nvPicPr>
        <xdr:cNvPr id="0" name="image721.png"/>
        <xdr:cNvPicPr preferRelativeResize="0"/>
      </xdr:nvPicPr>
      <xdr:blipFill>
        <a:blip cstate="print" r:embed="rId172"/>
        <a:stretch>
          <a:fillRect/>
        </a:stretch>
      </xdr:blipFill>
      <xdr:spPr>
        <a:prstGeom prst="rect">
          <a:avLst/>
        </a:prstGeom>
        <a:noFill/>
      </xdr:spPr>
    </xdr:pic>
    <xdr:clientData fLocksWithSheet="0"/>
  </xdr:oneCellAnchor>
  <xdr:oneCellAnchor>
    <xdr:from>
      <xdr:col>12</xdr:col>
      <xdr:colOff>0</xdr:colOff>
      <xdr:row>35</xdr:row>
      <xdr:rowOff>0</xdr:rowOff>
    </xdr:from>
    <xdr:ext cx="857250" cy="857250"/>
    <xdr:pic>
      <xdr:nvPicPr>
        <xdr:cNvPr id="0" name="image728.png"/>
        <xdr:cNvPicPr preferRelativeResize="0"/>
      </xdr:nvPicPr>
      <xdr:blipFill>
        <a:blip cstate="print" r:embed="rId173"/>
        <a:stretch>
          <a:fillRect/>
        </a:stretch>
      </xdr:blipFill>
      <xdr:spPr>
        <a:prstGeom prst="rect">
          <a:avLst/>
        </a:prstGeom>
        <a:noFill/>
      </xdr:spPr>
    </xdr:pic>
    <xdr:clientData fLocksWithSheet="0"/>
  </xdr:oneCellAnchor>
  <xdr:oneCellAnchor>
    <xdr:from>
      <xdr:col>18</xdr:col>
      <xdr:colOff>0</xdr:colOff>
      <xdr:row>35</xdr:row>
      <xdr:rowOff>0</xdr:rowOff>
    </xdr:from>
    <xdr:ext cx="857250" cy="857250"/>
    <xdr:pic>
      <xdr:nvPicPr>
        <xdr:cNvPr id="0" name="image732.png"/>
        <xdr:cNvPicPr preferRelativeResize="0"/>
      </xdr:nvPicPr>
      <xdr:blipFill>
        <a:blip cstate="print" r:embed="rId174"/>
        <a:stretch>
          <a:fillRect/>
        </a:stretch>
      </xdr:blipFill>
      <xdr:spPr>
        <a:prstGeom prst="rect">
          <a:avLst/>
        </a:prstGeom>
        <a:noFill/>
      </xdr:spPr>
    </xdr:pic>
    <xdr:clientData fLocksWithSheet="0"/>
  </xdr:oneCellAnchor>
  <xdr:oneCellAnchor>
    <xdr:from>
      <xdr:col>0</xdr:col>
      <xdr:colOff>0</xdr:colOff>
      <xdr:row>36</xdr:row>
      <xdr:rowOff>0</xdr:rowOff>
    </xdr:from>
    <xdr:ext cx="857250" cy="857250"/>
    <xdr:pic>
      <xdr:nvPicPr>
        <xdr:cNvPr id="0" name="image734.png"/>
        <xdr:cNvPicPr preferRelativeResize="0"/>
      </xdr:nvPicPr>
      <xdr:blipFill>
        <a:blip cstate="print" r:embed="rId175"/>
        <a:stretch>
          <a:fillRect/>
        </a:stretch>
      </xdr:blipFill>
      <xdr:spPr>
        <a:prstGeom prst="rect">
          <a:avLst/>
        </a:prstGeom>
        <a:noFill/>
      </xdr:spPr>
    </xdr:pic>
    <xdr:clientData fLocksWithSheet="0"/>
  </xdr:oneCellAnchor>
  <xdr:oneCellAnchor>
    <xdr:from>
      <xdr:col>6</xdr:col>
      <xdr:colOff>0</xdr:colOff>
      <xdr:row>36</xdr:row>
      <xdr:rowOff>0</xdr:rowOff>
    </xdr:from>
    <xdr:ext cx="857250" cy="857250"/>
    <xdr:pic>
      <xdr:nvPicPr>
        <xdr:cNvPr id="0" name="image740.png"/>
        <xdr:cNvPicPr preferRelativeResize="0"/>
      </xdr:nvPicPr>
      <xdr:blipFill>
        <a:blip cstate="print" r:embed="rId176"/>
        <a:stretch>
          <a:fillRect/>
        </a:stretch>
      </xdr:blipFill>
      <xdr:spPr>
        <a:prstGeom prst="rect">
          <a:avLst/>
        </a:prstGeom>
        <a:noFill/>
      </xdr:spPr>
    </xdr:pic>
    <xdr:clientData fLocksWithSheet="0"/>
  </xdr:oneCellAnchor>
  <xdr:oneCellAnchor>
    <xdr:from>
      <xdr:col>12</xdr:col>
      <xdr:colOff>0</xdr:colOff>
      <xdr:row>36</xdr:row>
      <xdr:rowOff>0</xdr:rowOff>
    </xdr:from>
    <xdr:ext cx="857250" cy="857250"/>
    <xdr:pic>
      <xdr:nvPicPr>
        <xdr:cNvPr id="0" name="image736.png"/>
        <xdr:cNvPicPr preferRelativeResize="0"/>
      </xdr:nvPicPr>
      <xdr:blipFill>
        <a:blip cstate="print" r:embed="rId177"/>
        <a:stretch>
          <a:fillRect/>
        </a:stretch>
      </xdr:blipFill>
      <xdr:spPr>
        <a:prstGeom prst="rect">
          <a:avLst/>
        </a:prstGeom>
        <a:noFill/>
      </xdr:spPr>
    </xdr:pic>
    <xdr:clientData fLocksWithSheet="0"/>
  </xdr:oneCellAnchor>
  <xdr:oneCellAnchor>
    <xdr:from>
      <xdr:col>18</xdr:col>
      <xdr:colOff>0</xdr:colOff>
      <xdr:row>36</xdr:row>
      <xdr:rowOff>0</xdr:rowOff>
    </xdr:from>
    <xdr:ext cx="857250" cy="857250"/>
    <xdr:pic>
      <xdr:nvPicPr>
        <xdr:cNvPr id="0" name="image738.png"/>
        <xdr:cNvPicPr preferRelativeResize="0"/>
      </xdr:nvPicPr>
      <xdr:blipFill>
        <a:blip cstate="print" r:embed="rId178"/>
        <a:stretch>
          <a:fillRect/>
        </a:stretch>
      </xdr:blipFill>
      <xdr:spPr>
        <a:prstGeom prst="rect">
          <a:avLst/>
        </a:prstGeom>
        <a:noFill/>
      </xdr:spPr>
    </xdr:pic>
    <xdr:clientData fLocksWithSheet="0"/>
  </xdr:oneCellAnchor>
  <xdr:oneCellAnchor>
    <xdr:from>
      <xdr:col>0</xdr:col>
      <xdr:colOff>0</xdr:colOff>
      <xdr:row>37</xdr:row>
      <xdr:rowOff>0</xdr:rowOff>
    </xdr:from>
    <xdr:ext cx="857250" cy="857250"/>
    <xdr:pic>
      <xdr:nvPicPr>
        <xdr:cNvPr id="0" name="image733.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37</xdr:row>
      <xdr:rowOff>0</xdr:rowOff>
    </xdr:from>
    <xdr:ext cx="857250" cy="857250"/>
    <xdr:pic>
      <xdr:nvPicPr>
        <xdr:cNvPr id="0" name="image737.png"/>
        <xdr:cNvPicPr preferRelativeResize="0"/>
      </xdr:nvPicPr>
      <xdr:blipFill>
        <a:blip cstate="print" r:embed="rId180"/>
        <a:stretch>
          <a:fillRect/>
        </a:stretch>
      </xdr:blipFill>
      <xdr:spPr>
        <a:prstGeom prst="rect">
          <a:avLst/>
        </a:prstGeom>
        <a:noFill/>
      </xdr:spPr>
    </xdr:pic>
    <xdr:clientData fLocksWithSheet="0"/>
  </xdr:oneCellAnchor>
  <xdr:oneCellAnchor>
    <xdr:from>
      <xdr:col>12</xdr:col>
      <xdr:colOff>0</xdr:colOff>
      <xdr:row>37</xdr:row>
      <xdr:rowOff>0</xdr:rowOff>
    </xdr:from>
    <xdr:ext cx="857250" cy="857250"/>
    <xdr:pic>
      <xdr:nvPicPr>
        <xdr:cNvPr id="0" name="image735.png"/>
        <xdr:cNvPicPr preferRelativeResize="0"/>
      </xdr:nvPicPr>
      <xdr:blipFill>
        <a:blip cstate="print" r:embed="rId181"/>
        <a:stretch>
          <a:fillRect/>
        </a:stretch>
      </xdr:blipFill>
      <xdr:spPr>
        <a:prstGeom prst="rect">
          <a:avLst/>
        </a:prstGeom>
        <a:noFill/>
      </xdr:spPr>
    </xdr:pic>
    <xdr:clientData fLocksWithSheet="0"/>
  </xdr:oneCellAnchor>
  <xdr:oneCellAnchor>
    <xdr:from>
      <xdr:col>0</xdr:col>
      <xdr:colOff>0</xdr:colOff>
      <xdr:row>38</xdr:row>
      <xdr:rowOff>0</xdr:rowOff>
    </xdr:from>
    <xdr:ext cx="857250" cy="857250"/>
    <xdr:pic>
      <xdr:nvPicPr>
        <xdr:cNvPr id="0" name="image741.png"/>
        <xdr:cNvPicPr preferRelativeResize="0"/>
      </xdr:nvPicPr>
      <xdr:blipFill>
        <a:blip cstate="print" r:embed="rId182"/>
        <a:stretch>
          <a:fillRect/>
        </a:stretch>
      </xdr:blipFill>
      <xdr:spPr>
        <a:prstGeom prst="rect">
          <a:avLst/>
        </a:prstGeom>
        <a:noFill/>
      </xdr:spPr>
    </xdr:pic>
    <xdr:clientData fLocksWithSheet="0"/>
  </xdr:oneCellAnchor>
  <xdr:oneCellAnchor>
    <xdr:from>
      <xdr:col>6</xdr:col>
      <xdr:colOff>0</xdr:colOff>
      <xdr:row>38</xdr:row>
      <xdr:rowOff>0</xdr:rowOff>
    </xdr:from>
    <xdr:ext cx="857250" cy="857250"/>
    <xdr:pic>
      <xdr:nvPicPr>
        <xdr:cNvPr id="0" name="image748.png"/>
        <xdr:cNvPicPr preferRelativeResize="0"/>
      </xdr:nvPicPr>
      <xdr:blipFill>
        <a:blip cstate="print" r:embed="rId183"/>
        <a:stretch>
          <a:fillRect/>
        </a:stretch>
      </xdr:blipFill>
      <xdr:spPr>
        <a:prstGeom prst="rect">
          <a:avLst/>
        </a:prstGeom>
        <a:noFill/>
      </xdr:spPr>
    </xdr:pic>
    <xdr:clientData fLocksWithSheet="0"/>
  </xdr:oneCellAnchor>
  <xdr:oneCellAnchor>
    <xdr:from>
      <xdr:col>12</xdr:col>
      <xdr:colOff>0</xdr:colOff>
      <xdr:row>38</xdr:row>
      <xdr:rowOff>0</xdr:rowOff>
    </xdr:from>
    <xdr:ext cx="857250" cy="857250"/>
    <xdr:pic>
      <xdr:nvPicPr>
        <xdr:cNvPr id="0" name="image754.png"/>
        <xdr:cNvPicPr preferRelativeResize="0"/>
      </xdr:nvPicPr>
      <xdr:blipFill>
        <a:blip cstate="print" r:embed="rId184"/>
        <a:stretch>
          <a:fillRect/>
        </a:stretch>
      </xdr:blipFill>
      <xdr:spPr>
        <a:prstGeom prst="rect">
          <a:avLst/>
        </a:prstGeom>
        <a:noFill/>
      </xdr:spPr>
    </xdr:pic>
    <xdr:clientData fLocksWithSheet="0"/>
  </xdr:oneCellAnchor>
  <xdr:oneCellAnchor>
    <xdr:from>
      <xdr:col>0</xdr:col>
      <xdr:colOff>0</xdr:colOff>
      <xdr:row>39</xdr:row>
      <xdr:rowOff>0</xdr:rowOff>
    </xdr:from>
    <xdr:ext cx="857250" cy="857250"/>
    <xdr:pic>
      <xdr:nvPicPr>
        <xdr:cNvPr id="0" name="image742.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39</xdr:row>
      <xdr:rowOff>0</xdr:rowOff>
    </xdr:from>
    <xdr:ext cx="857250" cy="857250"/>
    <xdr:pic>
      <xdr:nvPicPr>
        <xdr:cNvPr id="0" name="image744.png"/>
        <xdr:cNvPicPr preferRelativeResize="0"/>
      </xdr:nvPicPr>
      <xdr:blipFill>
        <a:blip cstate="print" r:embed="rId186"/>
        <a:stretch>
          <a:fillRect/>
        </a:stretch>
      </xdr:blipFill>
      <xdr:spPr>
        <a:prstGeom prst="rect">
          <a:avLst/>
        </a:prstGeom>
        <a:noFill/>
      </xdr:spPr>
    </xdr:pic>
    <xdr:clientData fLocksWithSheet="0"/>
  </xdr:oneCellAnchor>
  <xdr:oneCellAnchor>
    <xdr:from>
      <xdr:col>12</xdr:col>
      <xdr:colOff>0</xdr:colOff>
      <xdr:row>39</xdr:row>
      <xdr:rowOff>0</xdr:rowOff>
    </xdr:from>
    <xdr:ext cx="857250" cy="857250"/>
    <xdr:pic>
      <xdr:nvPicPr>
        <xdr:cNvPr id="0" name="image757.png"/>
        <xdr:cNvPicPr preferRelativeResize="0"/>
      </xdr:nvPicPr>
      <xdr:blipFill>
        <a:blip cstate="print" r:embed="rId187"/>
        <a:stretch>
          <a:fillRect/>
        </a:stretch>
      </xdr:blipFill>
      <xdr:spPr>
        <a:prstGeom prst="rect">
          <a:avLst/>
        </a:prstGeom>
        <a:noFill/>
      </xdr:spPr>
    </xdr:pic>
    <xdr:clientData fLocksWithSheet="0"/>
  </xdr:oneCellAnchor>
  <xdr:oneCellAnchor>
    <xdr:from>
      <xdr:col>0</xdr:col>
      <xdr:colOff>0</xdr:colOff>
      <xdr:row>40</xdr:row>
      <xdr:rowOff>0</xdr:rowOff>
    </xdr:from>
    <xdr:ext cx="857250" cy="857250"/>
    <xdr:pic>
      <xdr:nvPicPr>
        <xdr:cNvPr id="0" name="image743.png"/>
        <xdr:cNvPicPr preferRelativeResize="0"/>
      </xdr:nvPicPr>
      <xdr:blipFill>
        <a:blip cstate="print" r:embed="rId188"/>
        <a:stretch>
          <a:fillRect/>
        </a:stretch>
      </xdr:blipFill>
      <xdr:spPr>
        <a:prstGeom prst="rect">
          <a:avLst/>
        </a:prstGeom>
        <a:noFill/>
      </xdr:spPr>
    </xdr:pic>
    <xdr:clientData fLocksWithSheet="0"/>
  </xdr:oneCellAnchor>
  <xdr:oneCellAnchor>
    <xdr:from>
      <xdr:col>6</xdr:col>
      <xdr:colOff>0</xdr:colOff>
      <xdr:row>40</xdr:row>
      <xdr:rowOff>0</xdr:rowOff>
    </xdr:from>
    <xdr:ext cx="857250" cy="857250"/>
    <xdr:pic>
      <xdr:nvPicPr>
        <xdr:cNvPr id="0" name="image756.png"/>
        <xdr:cNvPicPr preferRelativeResize="0"/>
      </xdr:nvPicPr>
      <xdr:blipFill>
        <a:blip cstate="print" r:embed="rId189"/>
        <a:stretch>
          <a:fillRect/>
        </a:stretch>
      </xdr:blipFill>
      <xdr:spPr>
        <a:prstGeom prst="rect">
          <a:avLst/>
        </a:prstGeom>
        <a:noFill/>
      </xdr:spPr>
    </xdr:pic>
    <xdr:clientData fLocksWithSheet="0"/>
  </xdr:oneCellAnchor>
  <xdr:oneCellAnchor>
    <xdr:from>
      <xdr:col>12</xdr:col>
      <xdr:colOff>0</xdr:colOff>
      <xdr:row>40</xdr:row>
      <xdr:rowOff>0</xdr:rowOff>
    </xdr:from>
    <xdr:ext cx="857250" cy="857250"/>
    <xdr:pic>
      <xdr:nvPicPr>
        <xdr:cNvPr id="0" name="image749.png"/>
        <xdr:cNvPicPr preferRelativeResize="0"/>
      </xdr:nvPicPr>
      <xdr:blipFill>
        <a:blip cstate="print" r:embed="rId190"/>
        <a:stretch>
          <a:fillRect/>
        </a:stretch>
      </xdr:blipFill>
      <xdr:spPr>
        <a:prstGeom prst="rect">
          <a:avLst/>
        </a:prstGeom>
        <a:noFill/>
      </xdr:spPr>
    </xdr:pic>
    <xdr:clientData fLocksWithSheet="0"/>
  </xdr:oneCellAnchor>
  <xdr:oneCellAnchor>
    <xdr:from>
      <xdr:col>0</xdr:col>
      <xdr:colOff>0</xdr:colOff>
      <xdr:row>41</xdr:row>
      <xdr:rowOff>0</xdr:rowOff>
    </xdr:from>
    <xdr:ext cx="857250" cy="857250"/>
    <xdr:pic>
      <xdr:nvPicPr>
        <xdr:cNvPr id="0" name="image752.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41</xdr:row>
      <xdr:rowOff>0</xdr:rowOff>
    </xdr:from>
    <xdr:ext cx="857250" cy="857250"/>
    <xdr:pic>
      <xdr:nvPicPr>
        <xdr:cNvPr id="0" name="image755.png"/>
        <xdr:cNvPicPr preferRelativeResize="0"/>
      </xdr:nvPicPr>
      <xdr:blipFill>
        <a:blip cstate="print" r:embed="rId192"/>
        <a:stretch>
          <a:fillRect/>
        </a:stretch>
      </xdr:blipFill>
      <xdr:spPr>
        <a:prstGeom prst="rect">
          <a:avLst/>
        </a:prstGeom>
        <a:noFill/>
      </xdr:spPr>
    </xdr:pic>
    <xdr:clientData fLocksWithSheet="0"/>
  </xdr:oneCellAnchor>
  <xdr:oneCellAnchor>
    <xdr:from>
      <xdr:col>0</xdr:col>
      <xdr:colOff>0</xdr:colOff>
      <xdr:row>42</xdr:row>
      <xdr:rowOff>0</xdr:rowOff>
    </xdr:from>
    <xdr:ext cx="857250" cy="857250"/>
    <xdr:pic>
      <xdr:nvPicPr>
        <xdr:cNvPr id="0" name="image746.png"/>
        <xdr:cNvPicPr preferRelativeResize="0"/>
      </xdr:nvPicPr>
      <xdr:blipFill>
        <a:blip cstate="print" r:embed="rId193"/>
        <a:stretch>
          <a:fillRect/>
        </a:stretch>
      </xdr:blipFill>
      <xdr:spPr>
        <a:prstGeom prst="rect">
          <a:avLst/>
        </a:prstGeom>
        <a:noFill/>
      </xdr:spPr>
    </xdr:pic>
    <xdr:clientData fLocksWithSheet="0"/>
  </xdr:oneCellAnchor>
  <xdr:oneCellAnchor>
    <xdr:from>
      <xdr:col>6</xdr:col>
      <xdr:colOff>0</xdr:colOff>
      <xdr:row>42</xdr:row>
      <xdr:rowOff>0</xdr:rowOff>
    </xdr:from>
    <xdr:ext cx="857250" cy="857250"/>
    <xdr:pic>
      <xdr:nvPicPr>
        <xdr:cNvPr id="0" name="image750.png"/>
        <xdr:cNvPicPr preferRelativeResize="0"/>
      </xdr:nvPicPr>
      <xdr:blipFill>
        <a:blip cstate="print" r:embed="rId194"/>
        <a:stretch>
          <a:fillRect/>
        </a:stretch>
      </xdr:blipFill>
      <xdr:spPr>
        <a:prstGeom prst="rect">
          <a:avLst/>
        </a:prstGeom>
        <a:noFill/>
      </xdr:spPr>
    </xdr:pic>
    <xdr:clientData fLocksWithSheet="0"/>
  </xdr:oneCellAnchor>
  <xdr:oneCellAnchor>
    <xdr:from>
      <xdr:col>0</xdr:col>
      <xdr:colOff>0</xdr:colOff>
      <xdr:row>43</xdr:row>
      <xdr:rowOff>0</xdr:rowOff>
    </xdr:from>
    <xdr:ext cx="857250" cy="857250"/>
    <xdr:pic>
      <xdr:nvPicPr>
        <xdr:cNvPr id="0" name="image745.png"/>
        <xdr:cNvPicPr preferRelativeResize="0"/>
      </xdr:nvPicPr>
      <xdr:blipFill>
        <a:blip cstate="print" r:embed="rId195"/>
        <a:stretch>
          <a:fillRect/>
        </a:stretch>
      </xdr:blipFill>
      <xdr:spPr>
        <a:prstGeom prst="rect">
          <a:avLst/>
        </a:prstGeom>
        <a:noFill/>
      </xdr:spPr>
    </xdr:pic>
    <xdr:clientData fLocksWithSheet="0"/>
  </xdr:oneCellAnchor>
  <xdr:oneCellAnchor>
    <xdr:from>
      <xdr:col>6</xdr:col>
      <xdr:colOff>0</xdr:colOff>
      <xdr:row>43</xdr:row>
      <xdr:rowOff>0</xdr:rowOff>
    </xdr:from>
    <xdr:ext cx="857250" cy="857250"/>
    <xdr:pic>
      <xdr:nvPicPr>
        <xdr:cNvPr id="0" name="image747.png"/>
        <xdr:cNvPicPr preferRelativeResize="0"/>
      </xdr:nvPicPr>
      <xdr:blipFill>
        <a:blip cstate="print" r:embed="rId196"/>
        <a:stretch>
          <a:fillRect/>
        </a:stretch>
      </xdr:blipFill>
      <xdr:spPr>
        <a:prstGeom prst="rect">
          <a:avLst/>
        </a:prstGeom>
        <a:noFill/>
      </xdr:spPr>
    </xdr:pic>
    <xdr:clientData fLocksWithSheet="0"/>
  </xdr:oneCellAnchor>
  <xdr:oneCellAnchor>
    <xdr:from>
      <xdr:col>0</xdr:col>
      <xdr:colOff>0</xdr:colOff>
      <xdr:row>44</xdr:row>
      <xdr:rowOff>0</xdr:rowOff>
    </xdr:from>
    <xdr:ext cx="857250" cy="857250"/>
    <xdr:pic>
      <xdr:nvPicPr>
        <xdr:cNvPr id="0" name="image753.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44</xdr:row>
      <xdr:rowOff>0</xdr:rowOff>
    </xdr:from>
    <xdr:ext cx="857250" cy="857250"/>
    <xdr:pic>
      <xdr:nvPicPr>
        <xdr:cNvPr id="0" name="image751.png"/>
        <xdr:cNvPicPr preferRelativeResize="0"/>
      </xdr:nvPicPr>
      <xdr:blipFill>
        <a:blip cstate="print" r:embed="rId198"/>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314325</xdr:colOff>
      <xdr:row>57</xdr:row>
      <xdr:rowOff>19050</xdr:rowOff>
    </xdr:from>
    <xdr:ext cx="438150" cy="438150"/>
    <xdr:grpSp>
      <xdr:nvGrpSpPr>
        <xdr:cNvPr id="2" name="Shape 2" title="Рисунок"/>
        <xdr:cNvGrpSpPr/>
      </xdr:nvGrpSpPr>
      <xdr:grpSpPr>
        <a:xfrm>
          <a:off x="152400" y="5572101"/>
          <a:ext cx="3419500" cy="3419500"/>
          <a:chOff x="152400" y="5572101"/>
          <a:chExt cx="3419500" cy="3419500"/>
        </a:xfrm>
      </xdr:grpSpPr>
      <xdr:pic>
        <xdr:nvPicPr>
          <xdr:cNvPr id="3" name="Shape 3"/>
          <xdr:cNvPicPr preferRelativeResize="0"/>
        </xdr:nvPicPr>
        <xdr:blipFill>
          <a:blip r:embed="rId1">
            <a:alphaModFix/>
          </a:blip>
          <a:stretch>
            <a:fillRect/>
          </a:stretch>
        </xdr:blipFill>
        <xdr:spPr>
          <a:xfrm>
            <a:off x="152400" y="5572101"/>
            <a:ext cx="3419500" cy="3419500"/>
          </a:xfrm>
          <a:prstGeom prst="rect">
            <a:avLst/>
          </a:prstGeom>
          <a:noFill/>
          <a:ln>
            <a:noFill/>
          </a:ln>
        </xdr:spPr>
      </xdr:pic>
    </xdr:grpSp>
    <xdr:clientData fLocksWithSheet="0"/>
  </xdr:oneCellAnchor>
  <xdr:oneCellAnchor>
    <xdr:from>
      <xdr:col>19</xdr:col>
      <xdr:colOff>304800</xdr:colOff>
      <xdr:row>57</xdr:row>
      <xdr:rowOff>19050</xdr:rowOff>
    </xdr:from>
    <xdr:ext cx="438150" cy="438150"/>
    <xdr:grpSp>
      <xdr:nvGrpSpPr>
        <xdr:cNvPr id="2" name="Shape 2" title="Рисунок"/>
        <xdr:cNvGrpSpPr/>
      </xdr:nvGrpSpPr>
      <xdr:grpSpPr>
        <a:xfrm>
          <a:off x="152400" y="7444476"/>
          <a:ext cx="1547126" cy="1547126"/>
          <a:chOff x="152400" y="7444476"/>
          <a:chExt cx="1547126" cy="1547126"/>
        </a:xfrm>
      </xdr:grpSpPr>
      <xdr:pic>
        <xdr:nvPicPr>
          <xdr:cNvPr id="4" name="Shape 4"/>
          <xdr:cNvPicPr preferRelativeResize="0"/>
        </xdr:nvPicPr>
        <xdr:blipFill>
          <a:blip r:embed="rId1">
            <a:alphaModFix/>
          </a:blip>
          <a:stretch>
            <a:fillRect/>
          </a:stretch>
        </xdr:blipFill>
        <xdr:spPr>
          <a:xfrm>
            <a:off x="152400" y="7444476"/>
            <a:ext cx="1547126" cy="1547126"/>
          </a:xfrm>
          <a:prstGeom prst="rect">
            <a:avLst/>
          </a:prstGeom>
          <a:noFill/>
          <a:ln>
            <a:noFill/>
          </a:ln>
        </xdr:spPr>
      </xdr:pic>
    </xdr:grpSp>
    <xdr:clientData fLocksWithSheet="0"/>
  </xdr:oneCellAnchor>
  <xdr:oneCellAnchor>
    <xdr:from>
      <xdr:col>19</xdr:col>
      <xdr:colOff>304800</xdr:colOff>
      <xdr:row>53</xdr:row>
      <xdr:rowOff>19050</xdr:rowOff>
    </xdr:from>
    <xdr:ext cx="438150" cy="438150"/>
    <xdr:grpSp>
      <xdr:nvGrpSpPr>
        <xdr:cNvPr id="2" name="Shape 2" title="Рисунок"/>
        <xdr:cNvGrpSpPr/>
      </xdr:nvGrpSpPr>
      <xdr:grpSpPr>
        <a:xfrm>
          <a:off x="152400" y="7521201"/>
          <a:ext cx="1470400" cy="1470400"/>
          <a:chOff x="152400" y="7521201"/>
          <a:chExt cx="1470400" cy="1470400"/>
        </a:xfrm>
      </xdr:grpSpPr>
      <xdr:pic>
        <xdr:nvPicPr>
          <xdr:cNvPr id="5" name="Shape 5"/>
          <xdr:cNvPicPr preferRelativeResize="0"/>
        </xdr:nvPicPr>
        <xdr:blipFill>
          <a:blip r:embed="rId1">
            <a:alphaModFix/>
          </a:blip>
          <a:stretch>
            <a:fillRect/>
          </a:stretch>
        </xdr:blipFill>
        <xdr:spPr>
          <a:xfrm>
            <a:off x="152400" y="7521201"/>
            <a:ext cx="1470400" cy="1470400"/>
          </a:xfrm>
          <a:prstGeom prst="rect">
            <a:avLst/>
          </a:prstGeom>
          <a:noFill/>
          <a:ln>
            <a:noFill/>
          </a:ln>
        </xdr:spPr>
      </xdr:pic>
    </xdr:grpSp>
    <xdr:clientData fLocksWithSheet="0"/>
  </xdr:oneCellAnchor>
  <xdr:oneCellAnchor>
    <xdr:from>
      <xdr:col>19</xdr:col>
      <xdr:colOff>304800</xdr:colOff>
      <xdr:row>55</xdr:row>
      <xdr:rowOff>19050</xdr:rowOff>
    </xdr:from>
    <xdr:ext cx="438150" cy="438150"/>
    <xdr:grpSp>
      <xdr:nvGrpSpPr>
        <xdr:cNvPr id="2" name="Shape 2" title="Рисунок"/>
        <xdr:cNvGrpSpPr/>
      </xdr:nvGrpSpPr>
      <xdr:grpSpPr>
        <a:xfrm>
          <a:off x="152400" y="6689026"/>
          <a:ext cx="2302574" cy="2302574"/>
          <a:chOff x="152400" y="6689026"/>
          <a:chExt cx="2302574" cy="2302574"/>
        </a:xfrm>
      </xdr:grpSpPr>
      <xdr:pic>
        <xdr:nvPicPr>
          <xdr:cNvPr id="6" name="Shape 6"/>
          <xdr:cNvPicPr preferRelativeResize="0"/>
        </xdr:nvPicPr>
        <xdr:blipFill>
          <a:blip r:embed="rId1">
            <a:alphaModFix/>
          </a:blip>
          <a:stretch>
            <a:fillRect/>
          </a:stretch>
        </xdr:blipFill>
        <xdr:spPr>
          <a:xfrm>
            <a:off x="152400" y="6689026"/>
            <a:ext cx="2302574" cy="2302574"/>
          </a:xfrm>
          <a:prstGeom prst="rect">
            <a:avLst/>
          </a:prstGeom>
          <a:noFill/>
          <a:ln>
            <a:noFill/>
          </a:ln>
        </xdr:spPr>
      </xdr:pic>
    </xdr:grpSp>
    <xdr:clientData fLocksWithSheet="0"/>
  </xdr:oneCellAnchor>
  <xdr:oneCellAnchor>
    <xdr:from>
      <xdr:col>19</xdr:col>
      <xdr:colOff>304800</xdr:colOff>
      <xdr:row>50</xdr:row>
      <xdr:rowOff>257175</xdr:rowOff>
    </xdr:from>
    <xdr:ext cx="438150" cy="438150"/>
    <xdr:grpSp>
      <xdr:nvGrpSpPr>
        <xdr:cNvPr id="2" name="Shape 2" title="Рисунок"/>
        <xdr:cNvGrpSpPr/>
      </xdr:nvGrpSpPr>
      <xdr:grpSpPr>
        <a:xfrm>
          <a:off x="2648925" y="1715776"/>
          <a:ext cx="4184876" cy="4184876"/>
          <a:chOff x="2648925" y="1715776"/>
          <a:chExt cx="4184876" cy="4184876"/>
        </a:xfrm>
      </xdr:grpSpPr>
      <xdr:pic>
        <xdr:nvPicPr>
          <xdr:cNvPr id="7" name="Shape 7"/>
          <xdr:cNvPicPr preferRelativeResize="0"/>
        </xdr:nvPicPr>
        <xdr:blipFill>
          <a:blip r:embed="rId1">
            <a:alphaModFix/>
          </a:blip>
          <a:stretch>
            <a:fillRect/>
          </a:stretch>
        </xdr:blipFill>
        <xdr:spPr>
          <a:xfrm>
            <a:off x="2648925" y="1715776"/>
            <a:ext cx="4184876" cy="4184876"/>
          </a:xfrm>
          <a:prstGeom prst="rect">
            <a:avLst/>
          </a:prstGeom>
          <a:noFill/>
          <a:ln>
            <a:noFill/>
          </a:ln>
        </xdr:spPr>
      </xdr:pic>
    </xdr:grpSp>
    <xdr:clientData fLocksWithSheet="0"/>
  </xdr:oneCellAnchor>
  <xdr:oneCellAnchor>
    <xdr:from>
      <xdr:col>1</xdr:col>
      <xdr:colOff>38100</xdr:colOff>
      <xdr:row>47</xdr:row>
      <xdr:rowOff>28575</xdr:rowOff>
    </xdr:from>
    <xdr:ext cx="990600" cy="190500"/>
    <xdr:grpSp>
      <xdr:nvGrpSpPr>
        <xdr:cNvPr id="2" name="Shape 2" title="Рисунок"/>
        <xdr:cNvGrpSpPr/>
      </xdr:nvGrpSpPr>
      <xdr:grpSpPr>
        <a:xfrm>
          <a:off x="1208100" y="2200275"/>
          <a:ext cx="5857875" cy="1314450"/>
          <a:chOff x="1208100" y="2200275"/>
          <a:chExt cx="5857875" cy="1314450"/>
        </a:xfrm>
      </xdr:grpSpPr>
      <xdr:pic>
        <xdr:nvPicPr>
          <xdr:cNvPr id="8" name="Shape 8"/>
          <xdr:cNvPicPr preferRelativeResize="0"/>
        </xdr:nvPicPr>
        <xdr:blipFill>
          <a:blip r:embed="rId2">
            <a:alphaModFix/>
          </a:blip>
          <a:stretch>
            <a:fillRect/>
          </a:stretch>
        </xdr:blipFill>
        <xdr:spPr>
          <a:xfrm>
            <a:off x="1208100" y="2200275"/>
            <a:ext cx="5857875" cy="1314450"/>
          </a:xfrm>
          <a:prstGeom prst="rect">
            <a:avLst/>
          </a:prstGeom>
          <a:noFill/>
          <a:ln>
            <a:noFill/>
          </a:ln>
        </xdr:spPr>
      </xdr:pic>
    </xdr:grpSp>
    <xdr:clientData fLocksWithSheet="0"/>
  </xdr:oneCellAnchor>
  <xdr:oneCellAnchor>
    <xdr:from>
      <xdr:col>1</xdr:col>
      <xdr:colOff>38100</xdr:colOff>
      <xdr:row>48</xdr:row>
      <xdr:rowOff>28575</xdr:rowOff>
    </xdr:from>
    <xdr:ext cx="990600" cy="190500"/>
    <xdr:grpSp>
      <xdr:nvGrpSpPr>
        <xdr:cNvPr id="2" name="Shape 2" title="Рисунок"/>
        <xdr:cNvGrpSpPr/>
      </xdr:nvGrpSpPr>
      <xdr:grpSpPr>
        <a:xfrm>
          <a:off x="152400" y="152400"/>
          <a:ext cx="5181600" cy="1257300"/>
          <a:chOff x="152400" y="152400"/>
          <a:chExt cx="5181600" cy="1257300"/>
        </a:xfrm>
      </xdr:grpSpPr>
      <xdr:pic>
        <xdr:nvPicPr>
          <xdr:cNvPr id="9" name="Shape 9"/>
          <xdr:cNvPicPr preferRelativeResize="0"/>
        </xdr:nvPicPr>
        <xdr:blipFill>
          <a:blip r:embed="rId3">
            <a:alphaModFix/>
          </a:blip>
          <a:stretch>
            <a:fillRect/>
          </a:stretch>
        </xdr:blipFill>
        <xdr:spPr>
          <a:xfrm>
            <a:off x="152400" y="152400"/>
            <a:ext cx="5181600" cy="1257300"/>
          </a:xfrm>
          <a:prstGeom prst="rect">
            <a:avLst/>
          </a:prstGeom>
          <a:noFill/>
          <a:ln>
            <a:noFill/>
          </a:ln>
        </xdr:spPr>
      </xdr:pic>
    </xdr:grpSp>
    <xdr:clientData fLocksWithSheet="0"/>
  </xdr:oneCellAnchor>
  <xdr:oneCellAnchor>
    <xdr:from>
      <xdr:col>1</xdr:col>
      <xdr:colOff>38100</xdr:colOff>
      <xdr:row>49</xdr:row>
      <xdr:rowOff>28575</xdr:rowOff>
    </xdr:from>
    <xdr:ext cx="990600" cy="190500"/>
    <xdr:grpSp>
      <xdr:nvGrpSpPr>
        <xdr:cNvPr id="2" name="Shape 2" title="Рисунок"/>
        <xdr:cNvGrpSpPr/>
      </xdr:nvGrpSpPr>
      <xdr:grpSpPr>
        <a:xfrm>
          <a:off x="152400" y="152400"/>
          <a:ext cx="5200650" cy="1257300"/>
          <a:chOff x="152400" y="152400"/>
          <a:chExt cx="5200650" cy="1257300"/>
        </a:xfrm>
      </xdr:grpSpPr>
      <xdr:pic>
        <xdr:nvPicPr>
          <xdr:cNvPr id="10" name="Shape 10"/>
          <xdr:cNvPicPr preferRelativeResize="0"/>
        </xdr:nvPicPr>
        <xdr:blipFill>
          <a:blip r:embed="rId4">
            <a:alphaModFix/>
          </a:blip>
          <a:stretch>
            <a:fillRect/>
          </a:stretch>
        </xdr:blipFill>
        <xdr:spPr>
          <a:xfrm>
            <a:off x="152400" y="152400"/>
            <a:ext cx="5200650" cy="1257300"/>
          </a:xfrm>
          <a:prstGeom prst="rect">
            <a:avLst/>
          </a:prstGeom>
          <a:noFill/>
          <a:ln>
            <a:noFill/>
          </a:ln>
        </xdr:spPr>
      </xdr:pic>
    </xdr:grpSp>
    <xdr:clientData fLocksWithSheet="0"/>
  </xdr:oneCellAnchor>
  <xdr:oneCellAnchor>
    <xdr:from>
      <xdr:col>1</xdr:col>
      <xdr:colOff>38100</xdr:colOff>
      <xdr:row>50</xdr:row>
      <xdr:rowOff>28575</xdr:rowOff>
    </xdr:from>
    <xdr:ext cx="990600" cy="190500"/>
    <xdr:grpSp>
      <xdr:nvGrpSpPr>
        <xdr:cNvPr id="2" name="Shape 2" title="Рисунок"/>
        <xdr:cNvGrpSpPr/>
      </xdr:nvGrpSpPr>
      <xdr:grpSpPr>
        <a:xfrm>
          <a:off x="152400" y="152400"/>
          <a:ext cx="5181600" cy="1238250"/>
          <a:chOff x="152400" y="152400"/>
          <a:chExt cx="5181600" cy="1238250"/>
        </a:xfrm>
      </xdr:grpSpPr>
      <xdr:pic>
        <xdr:nvPicPr>
          <xdr:cNvPr id="11" name="Shape 11"/>
          <xdr:cNvPicPr preferRelativeResize="0"/>
        </xdr:nvPicPr>
        <xdr:blipFill>
          <a:blip r:embed="rId5">
            <a:alphaModFix/>
          </a:blip>
          <a:stretch>
            <a:fillRect/>
          </a:stretch>
        </xdr:blipFill>
        <xdr:spPr>
          <a:xfrm>
            <a:off x="152400" y="152400"/>
            <a:ext cx="5181600" cy="1238250"/>
          </a:xfrm>
          <a:prstGeom prst="rect">
            <a:avLst/>
          </a:prstGeom>
          <a:noFill/>
          <a:ln>
            <a:noFill/>
          </a:ln>
        </xdr:spPr>
      </xdr:pic>
    </xdr:grpSp>
    <xdr:clientData fLocksWithSheet="0"/>
  </xdr:oneCellAnchor>
  <xdr:oneCellAnchor>
    <xdr:from>
      <xdr:col>1</xdr:col>
      <xdr:colOff>38100</xdr:colOff>
      <xdr:row>51</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2" name="Shape 12"/>
          <xdr:cNvPicPr preferRelativeResize="0"/>
        </xdr:nvPicPr>
        <xdr:blipFill>
          <a:blip r:embed="rId6">
            <a:alphaModFix/>
          </a:blip>
          <a:stretch>
            <a:fillRect/>
          </a:stretch>
        </xdr:blipFill>
        <xdr:spPr>
          <a:xfrm>
            <a:off x="152400" y="152400"/>
            <a:ext cx="5219700" cy="1257300"/>
          </a:xfrm>
          <a:prstGeom prst="rect">
            <a:avLst/>
          </a:prstGeom>
          <a:noFill/>
          <a:ln>
            <a:noFill/>
          </a:ln>
        </xdr:spPr>
      </xdr:pic>
    </xdr:grpSp>
    <xdr:clientData fLocksWithSheet="0"/>
  </xdr:oneCellAnchor>
  <xdr:oneCellAnchor>
    <xdr:from>
      <xdr:col>1</xdr:col>
      <xdr:colOff>38100</xdr:colOff>
      <xdr:row>52</xdr:row>
      <xdr:rowOff>19050</xdr:rowOff>
    </xdr:from>
    <xdr:ext cx="990600" cy="190500"/>
    <xdr:grpSp>
      <xdr:nvGrpSpPr>
        <xdr:cNvPr id="2" name="Shape 2" title="Рисунок"/>
        <xdr:cNvGrpSpPr/>
      </xdr:nvGrpSpPr>
      <xdr:grpSpPr>
        <a:xfrm>
          <a:off x="152400" y="152400"/>
          <a:ext cx="5200650" cy="1276350"/>
          <a:chOff x="152400" y="152400"/>
          <a:chExt cx="5200650" cy="1276350"/>
        </a:xfrm>
      </xdr:grpSpPr>
      <xdr:pic>
        <xdr:nvPicPr>
          <xdr:cNvPr id="13" name="Shape 13"/>
          <xdr:cNvPicPr preferRelativeResize="0"/>
        </xdr:nvPicPr>
        <xdr:blipFill>
          <a:blip r:embed="rId7">
            <a:alphaModFix/>
          </a:blip>
          <a:stretch>
            <a:fillRect/>
          </a:stretch>
        </xdr:blipFill>
        <xdr:spPr>
          <a:xfrm>
            <a:off x="152400" y="152400"/>
            <a:ext cx="5200650" cy="1276350"/>
          </a:xfrm>
          <a:prstGeom prst="rect">
            <a:avLst/>
          </a:prstGeom>
          <a:noFill/>
          <a:ln>
            <a:noFill/>
          </a:ln>
        </xdr:spPr>
      </xdr:pic>
    </xdr:grpSp>
    <xdr:clientData fLocksWithSheet="0"/>
  </xdr:oneCellAnchor>
  <xdr:oneCellAnchor>
    <xdr:from>
      <xdr:col>1</xdr:col>
      <xdr:colOff>38100</xdr:colOff>
      <xdr:row>53</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4" name="Shape 14"/>
          <xdr:cNvPicPr preferRelativeResize="0"/>
        </xdr:nvPicPr>
        <xdr:blipFill>
          <a:blip r:embed="rId8">
            <a:alphaModFix/>
          </a:blip>
          <a:stretch>
            <a:fillRect/>
          </a:stretch>
        </xdr:blipFill>
        <xdr:spPr>
          <a:xfrm>
            <a:off x="152400" y="152400"/>
            <a:ext cx="5219700" cy="1257300"/>
          </a:xfrm>
          <a:prstGeom prst="rect">
            <a:avLst/>
          </a:prstGeom>
          <a:noFill/>
          <a:ln>
            <a:noFill/>
          </a:ln>
        </xdr:spPr>
      </xdr:pic>
    </xdr:grp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314325</xdr:colOff>
      <xdr:row>57</xdr:row>
      <xdr:rowOff>19050</xdr:rowOff>
    </xdr:from>
    <xdr:ext cx="438150" cy="438150"/>
    <xdr:grpSp>
      <xdr:nvGrpSpPr>
        <xdr:cNvPr id="2" name="Shape 2" title="Рисунок"/>
        <xdr:cNvGrpSpPr/>
      </xdr:nvGrpSpPr>
      <xdr:grpSpPr>
        <a:xfrm>
          <a:off x="152400" y="5572101"/>
          <a:ext cx="3419500" cy="3419500"/>
          <a:chOff x="152400" y="5572101"/>
          <a:chExt cx="3419500" cy="3419500"/>
        </a:xfrm>
      </xdr:grpSpPr>
      <xdr:pic>
        <xdr:nvPicPr>
          <xdr:cNvPr id="3" name="Shape 3"/>
          <xdr:cNvPicPr preferRelativeResize="0"/>
        </xdr:nvPicPr>
        <xdr:blipFill>
          <a:blip r:embed="rId1">
            <a:alphaModFix/>
          </a:blip>
          <a:stretch>
            <a:fillRect/>
          </a:stretch>
        </xdr:blipFill>
        <xdr:spPr>
          <a:xfrm>
            <a:off x="152400" y="5572101"/>
            <a:ext cx="3419500" cy="3419500"/>
          </a:xfrm>
          <a:prstGeom prst="rect">
            <a:avLst/>
          </a:prstGeom>
          <a:noFill/>
          <a:ln>
            <a:noFill/>
          </a:ln>
        </xdr:spPr>
      </xdr:pic>
    </xdr:grpSp>
    <xdr:clientData fLocksWithSheet="0"/>
  </xdr:oneCellAnchor>
  <xdr:oneCellAnchor>
    <xdr:from>
      <xdr:col>19</xdr:col>
      <xdr:colOff>304800</xdr:colOff>
      <xdr:row>57</xdr:row>
      <xdr:rowOff>19050</xdr:rowOff>
    </xdr:from>
    <xdr:ext cx="438150" cy="438150"/>
    <xdr:grpSp>
      <xdr:nvGrpSpPr>
        <xdr:cNvPr id="2" name="Shape 2" title="Рисунок"/>
        <xdr:cNvGrpSpPr/>
      </xdr:nvGrpSpPr>
      <xdr:grpSpPr>
        <a:xfrm>
          <a:off x="152400" y="7444476"/>
          <a:ext cx="1547126" cy="1547126"/>
          <a:chOff x="152400" y="7444476"/>
          <a:chExt cx="1547126" cy="1547126"/>
        </a:xfrm>
      </xdr:grpSpPr>
      <xdr:pic>
        <xdr:nvPicPr>
          <xdr:cNvPr id="4" name="Shape 4"/>
          <xdr:cNvPicPr preferRelativeResize="0"/>
        </xdr:nvPicPr>
        <xdr:blipFill>
          <a:blip r:embed="rId1">
            <a:alphaModFix/>
          </a:blip>
          <a:stretch>
            <a:fillRect/>
          </a:stretch>
        </xdr:blipFill>
        <xdr:spPr>
          <a:xfrm>
            <a:off x="152400" y="7444476"/>
            <a:ext cx="1547126" cy="1547126"/>
          </a:xfrm>
          <a:prstGeom prst="rect">
            <a:avLst/>
          </a:prstGeom>
          <a:noFill/>
          <a:ln>
            <a:noFill/>
          </a:ln>
        </xdr:spPr>
      </xdr:pic>
    </xdr:grpSp>
    <xdr:clientData fLocksWithSheet="0"/>
  </xdr:oneCellAnchor>
  <xdr:oneCellAnchor>
    <xdr:from>
      <xdr:col>19</xdr:col>
      <xdr:colOff>304800</xdr:colOff>
      <xdr:row>53</xdr:row>
      <xdr:rowOff>19050</xdr:rowOff>
    </xdr:from>
    <xdr:ext cx="438150" cy="438150"/>
    <xdr:grpSp>
      <xdr:nvGrpSpPr>
        <xdr:cNvPr id="2" name="Shape 2" title="Рисунок"/>
        <xdr:cNvGrpSpPr/>
      </xdr:nvGrpSpPr>
      <xdr:grpSpPr>
        <a:xfrm>
          <a:off x="152400" y="7521201"/>
          <a:ext cx="1470400" cy="1470400"/>
          <a:chOff x="152400" y="7521201"/>
          <a:chExt cx="1470400" cy="1470400"/>
        </a:xfrm>
      </xdr:grpSpPr>
      <xdr:pic>
        <xdr:nvPicPr>
          <xdr:cNvPr id="5" name="Shape 5"/>
          <xdr:cNvPicPr preferRelativeResize="0"/>
        </xdr:nvPicPr>
        <xdr:blipFill>
          <a:blip r:embed="rId1">
            <a:alphaModFix/>
          </a:blip>
          <a:stretch>
            <a:fillRect/>
          </a:stretch>
        </xdr:blipFill>
        <xdr:spPr>
          <a:xfrm>
            <a:off x="152400" y="7521201"/>
            <a:ext cx="1470400" cy="1470400"/>
          </a:xfrm>
          <a:prstGeom prst="rect">
            <a:avLst/>
          </a:prstGeom>
          <a:noFill/>
          <a:ln>
            <a:noFill/>
          </a:ln>
        </xdr:spPr>
      </xdr:pic>
    </xdr:grpSp>
    <xdr:clientData fLocksWithSheet="0"/>
  </xdr:oneCellAnchor>
  <xdr:oneCellAnchor>
    <xdr:from>
      <xdr:col>19</xdr:col>
      <xdr:colOff>304800</xdr:colOff>
      <xdr:row>55</xdr:row>
      <xdr:rowOff>19050</xdr:rowOff>
    </xdr:from>
    <xdr:ext cx="438150" cy="438150"/>
    <xdr:grpSp>
      <xdr:nvGrpSpPr>
        <xdr:cNvPr id="2" name="Shape 2" title="Рисунок"/>
        <xdr:cNvGrpSpPr/>
      </xdr:nvGrpSpPr>
      <xdr:grpSpPr>
        <a:xfrm>
          <a:off x="152400" y="6689026"/>
          <a:ext cx="2302574" cy="2302574"/>
          <a:chOff x="152400" y="6689026"/>
          <a:chExt cx="2302574" cy="2302574"/>
        </a:xfrm>
      </xdr:grpSpPr>
      <xdr:pic>
        <xdr:nvPicPr>
          <xdr:cNvPr id="6" name="Shape 6"/>
          <xdr:cNvPicPr preferRelativeResize="0"/>
        </xdr:nvPicPr>
        <xdr:blipFill>
          <a:blip r:embed="rId1">
            <a:alphaModFix/>
          </a:blip>
          <a:stretch>
            <a:fillRect/>
          </a:stretch>
        </xdr:blipFill>
        <xdr:spPr>
          <a:xfrm>
            <a:off x="152400" y="6689026"/>
            <a:ext cx="2302574" cy="2302574"/>
          </a:xfrm>
          <a:prstGeom prst="rect">
            <a:avLst/>
          </a:prstGeom>
          <a:noFill/>
          <a:ln>
            <a:noFill/>
          </a:ln>
        </xdr:spPr>
      </xdr:pic>
    </xdr:grpSp>
    <xdr:clientData fLocksWithSheet="0"/>
  </xdr:oneCellAnchor>
  <xdr:oneCellAnchor>
    <xdr:from>
      <xdr:col>19</xdr:col>
      <xdr:colOff>304800</xdr:colOff>
      <xdr:row>50</xdr:row>
      <xdr:rowOff>257175</xdr:rowOff>
    </xdr:from>
    <xdr:ext cx="438150" cy="438150"/>
    <xdr:grpSp>
      <xdr:nvGrpSpPr>
        <xdr:cNvPr id="2" name="Shape 2" title="Рисунок"/>
        <xdr:cNvGrpSpPr/>
      </xdr:nvGrpSpPr>
      <xdr:grpSpPr>
        <a:xfrm>
          <a:off x="2648925" y="1715776"/>
          <a:ext cx="4184876" cy="4184876"/>
          <a:chOff x="2648925" y="1715776"/>
          <a:chExt cx="4184876" cy="4184876"/>
        </a:xfrm>
      </xdr:grpSpPr>
      <xdr:pic>
        <xdr:nvPicPr>
          <xdr:cNvPr id="7" name="Shape 7"/>
          <xdr:cNvPicPr preferRelativeResize="0"/>
        </xdr:nvPicPr>
        <xdr:blipFill>
          <a:blip r:embed="rId1">
            <a:alphaModFix/>
          </a:blip>
          <a:stretch>
            <a:fillRect/>
          </a:stretch>
        </xdr:blipFill>
        <xdr:spPr>
          <a:xfrm>
            <a:off x="2648925" y="1715776"/>
            <a:ext cx="4184876" cy="4184876"/>
          </a:xfrm>
          <a:prstGeom prst="rect">
            <a:avLst/>
          </a:prstGeom>
          <a:noFill/>
          <a:ln>
            <a:noFill/>
          </a:ln>
        </xdr:spPr>
      </xdr:pic>
    </xdr:grpSp>
    <xdr:clientData fLocksWithSheet="0"/>
  </xdr:oneCellAnchor>
  <xdr:oneCellAnchor>
    <xdr:from>
      <xdr:col>1</xdr:col>
      <xdr:colOff>38100</xdr:colOff>
      <xdr:row>47</xdr:row>
      <xdr:rowOff>28575</xdr:rowOff>
    </xdr:from>
    <xdr:ext cx="990600" cy="190500"/>
    <xdr:grpSp>
      <xdr:nvGrpSpPr>
        <xdr:cNvPr id="2" name="Shape 2" title="Рисунок"/>
        <xdr:cNvGrpSpPr/>
      </xdr:nvGrpSpPr>
      <xdr:grpSpPr>
        <a:xfrm>
          <a:off x="1208100" y="2200275"/>
          <a:ext cx="5857875" cy="1314450"/>
          <a:chOff x="1208100" y="2200275"/>
          <a:chExt cx="5857875" cy="1314450"/>
        </a:xfrm>
      </xdr:grpSpPr>
      <xdr:pic>
        <xdr:nvPicPr>
          <xdr:cNvPr id="8" name="Shape 8"/>
          <xdr:cNvPicPr preferRelativeResize="0"/>
        </xdr:nvPicPr>
        <xdr:blipFill>
          <a:blip r:embed="rId2">
            <a:alphaModFix/>
          </a:blip>
          <a:stretch>
            <a:fillRect/>
          </a:stretch>
        </xdr:blipFill>
        <xdr:spPr>
          <a:xfrm>
            <a:off x="1208100" y="2200275"/>
            <a:ext cx="5857875" cy="1314450"/>
          </a:xfrm>
          <a:prstGeom prst="rect">
            <a:avLst/>
          </a:prstGeom>
          <a:noFill/>
          <a:ln>
            <a:noFill/>
          </a:ln>
        </xdr:spPr>
      </xdr:pic>
    </xdr:grpSp>
    <xdr:clientData fLocksWithSheet="0"/>
  </xdr:oneCellAnchor>
  <xdr:oneCellAnchor>
    <xdr:from>
      <xdr:col>1</xdr:col>
      <xdr:colOff>38100</xdr:colOff>
      <xdr:row>48</xdr:row>
      <xdr:rowOff>28575</xdr:rowOff>
    </xdr:from>
    <xdr:ext cx="990600" cy="190500"/>
    <xdr:grpSp>
      <xdr:nvGrpSpPr>
        <xdr:cNvPr id="2" name="Shape 2" title="Рисунок"/>
        <xdr:cNvGrpSpPr/>
      </xdr:nvGrpSpPr>
      <xdr:grpSpPr>
        <a:xfrm>
          <a:off x="152400" y="152400"/>
          <a:ext cx="5181600" cy="1257300"/>
          <a:chOff x="152400" y="152400"/>
          <a:chExt cx="5181600" cy="1257300"/>
        </a:xfrm>
      </xdr:grpSpPr>
      <xdr:pic>
        <xdr:nvPicPr>
          <xdr:cNvPr id="9" name="Shape 9"/>
          <xdr:cNvPicPr preferRelativeResize="0"/>
        </xdr:nvPicPr>
        <xdr:blipFill>
          <a:blip r:embed="rId3">
            <a:alphaModFix/>
          </a:blip>
          <a:stretch>
            <a:fillRect/>
          </a:stretch>
        </xdr:blipFill>
        <xdr:spPr>
          <a:xfrm>
            <a:off x="152400" y="152400"/>
            <a:ext cx="5181600" cy="1257300"/>
          </a:xfrm>
          <a:prstGeom prst="rect">
            <a:avLst/>
          </a:prstGeom>
          <a:noFill/>
          <a:ln>
            <a:noFill/>
          </a:ln>
        </xdr:spPr>
      </xdr:pic>
    </xdr:grpSp>
    <xdr:clientData fLocksWithSheet="0"/>
  </xdr:oneCellAnchor>
  <xdr:oneCellAnchor>
    <xdr:from>
      <xdr:col>1</xdr:col>
      <xdr:colOff>38100</xdr:colOff>
      <xdr:row>49</xdr:row>
      <xdr:rowOff>28575</xdr:rowOff>
    </xdr:from>
    <xdr:ext cx="990600" cy="190500"/>
    <xdr:grpSp>
      <xdr:nvGrpSpPr>
        <xdr:cNvPr id="2" name="Shape 2" title="Рисунок"/>
        <xdr:cNvGrpSpPr/>
      </xdr:nvGrpSpPr>
      <xdr:grpSpPr>
        <a:xfrm>
          <a:off x="152400" y="152400"/>
          <a:ext cx="5200650" cy="1257300"/>
          <a:chOff x="152400" y="152400"/>
          <a:chExt cx="5200650" cy="1257300"/>
        </a:xfrm>
      </xdr:grpSpPr>
      <xdr:pic>
        <xdr:nvPicPr>
          <xdr:cNvPr id="10" name="Shape 10"/>
          <xdr:cNvPicPr preferRelativeResize="0"/>
        </xdr:nvPicPr>
        <xdr:blipFill>
          <a:blip r:embed="rId4">
            <a:alphaModFix/>
          </a:blip>
          <a:stretch>
            <a:fillRect/>
          </a:stretch>
        </xdr:blipFill>
        <xdr:spPr>
          <a:xfrm>
            <a:off x="152400" y="152400"/>
            <a:ext cx="5200650" cy="1257300"/>
          </a:xfrm>
          <a:prstGeom prst="rect">
            <a:avLst/>
          </a:prstGeom>
          <a:noFill/>
          <a:ln>
            <a:noFill/>
          </a:ln>
        </xdr:spPr>
      </xdr:pic>
    </xdr:grpSp>
    <xdr:clientData fLocksWithSheet="0"/>
  </xdr:oneCellAnchor>
  <xdr:oneCellAnchor>
    <xdr:from>
      <xdr:col>1</xdr:col>
      <xdr:colOff>38100</xdr:colOff>
      <xdr:row>50</xdr:row>
      <xdr:rowOff>28575</xdr:rowOff>
    </xdr:from>
    <xdr:ext cx="990600" cy="190500"/>
    <xdr:grpSp>
      <xdr:nvGrpSpPr>
        <xdr:cNvPr id="2" name="Shape 2" title="Рисунок"/>
        <xdr:cNvGrpSpPr/>
      </xdr:nvGrpSpPr>
      <xdr:grpSpPr>
        <a:xfrm>
          <a:off x="152400" y="152400"/>
          <a:ext cx="5181600" cy="1238250"/>
          <a:chOff x="152400" y="152400"/>
          <a:chExt cx="5181600" cy="1238250"/>
        </a:xfrm>
      </xdr:grpSpPr>
      <xdr:pic>
        <xdr:nvPicPr>
          <xdr:cNvPr id="11" name="Shape 11"/>
          <xdr:cNvPicPr preferRelativeResize="0"/>
        </xdr:nvPicPr>
        <xdr:blipFill>
          <a:blip r:embed="rId5">
            <a:alphaModFix/>
          </a:blip>
          <a:stretch>
            <a:fillRect/>
          </a:stretch>
        </xdr:blipFill>
        <xdr:spPr>
          <a:xfrm>
            <a:off x="152400" y="152400"/>
            <a:ext cx="5181600" cy="1238250"/>
          </a:xfrm>
          <a:prstGeom prst="rect">
            <a:avLst/>
          </a:prstGeom>
          <a:noFill/>
          <a:ln>
            <a:noFill/>
          </a:ln>
        </xdr:spPr>
      </xdr:pic>
    </xdr:grpSp>
    <xdr:clientData fLocksWithSheet="0"/>
  </xdr:oneCellAnchor>
  <xdr:oneCellAnchor>
    <xdr:from>
      <xdr:col>1</xdr:col>
      <xdr:colOff>38100</xdr:colOff>
      <xdr:row>51</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2" name="Shape 12"/>
          <xdr:cNvPicPr preferRelativeResize="0"/>
        </xdr:nvPicPr>
        <xdr:blipFill>
          <a:blip r:embed="rId6">
            <a:alphaModFix/>
          </a:blip>
          <a:stretch>
            <a:fillRect/>
          </a:stretch>
        </xdr:blipFill>
        <xdr:spPr>
          <a:xfrm>
            <a:off x="152400" y="152400"/>
            <a:ext cx="5219700" cy="1257300"/>
          </a:xfrm>
          <a:prstGeom prst="rect">
            <a:avLst/>
          </a:prstGeom>
          <a:noFill/>
          <a:ln>
            <a:noFill/>
          </a:ln>
        </xdr:spPr>
      </xdr:pic>
    </xdr:grpSp>
    <xdr:clientData fLocksWithSheet="0"/>
  </xdr:oneCellAnchor>
  <xdr:oneCellAnchor>
    <xdr:from>
      <xdr:col>1</xdr:col>
      <xdr:colOff>38100</xdr:colOff>
      <xdr:row>52</xdr:row>
      <xdr:rowOff>19050</xdr:rowOff>
    </xdr:from>
    <xdr:ext cx="990600" cy="190500"/>
    <xdr:grpSp>
      <xdr:nvGrpSpPr>
        <xdr:cNvPr id="2" name="Shape 2" title="Рисунок"/>
        <xdr:cNvGrpSpPr/>
      </xdr:nvGrpSpPr>
      <xdr:grpSpPr>
        <a:xfrm>
          <a:off x="152400" y="152400"/>
          <a:ext cx="5200650" cy="1276350"/>
          <a:chOff x="152400" y="152400"/>
          <a:chExt cx="5200650" cy="1276350"/>
        </a:xfrm>
      </xdr:grpSpPr>
      <xdr:pic>
        <xdr:nvPicPr>
          <xdr:cNvPr id="13" name="Shape 13"/>
          <xdr:cNvPicPr preferRelativeResize="0"/>
        </xdr:nvPicPr>
        <xdr:blipFill>
          <a:blip r:embed="rId7">
            <a:alphaModFix/>
          </a:blip>
          <a:stretch>
            <a:fillRect/>
          </a:stretch>
        </xdr:blipFill>
        <xdr:spPr>
          <a:xfrm>
            <a:off x="152400" y="152400"/>
            <a:ext cx="5200650" cy="1276350"/>
          </a:xfrm>
          <a:prstGeom prst="rect">
            <a:avLst/>
          </a:prstGeom>
          <a:noFill/>
          <a:ln>
            <a:noFill/>
          </a:ln>
        </xdr:spPr>
      </xdr:pic>
    </xdr:grpSp>
    <xdr:clientData fLocksWithSheet="0"/>
  </xdr:oneCellAnchor>
  <xdr:oneCellAnchor>
    <xdr:from>
      <xdr:col>1</xdr:col>
      <xdr:colOff>38100</xdr:colOff>
      <xdr:row>53</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4" name="Shape 14"/>
          <xdr:cNvPicPr preferRelativeResize="0"/>
        </xdr:nvPicPr>
        <xdr:blipFill>
          <a:blip r:embed="rId8">
            <a:alphaModFix/>
          </a:blip>
          <a:stretch>
            <a:fillRect/>
          </a:stretch>
        </xdr:blipFill>
        <xdr:spPr>
          <a:xfrm>
            <a:off x="152400" y="152400"/>
            <a:ext cx="5219700" cy="1257300"/>
          </a:xfrm>
          <a:prstGeom prst="rect">
            <a:avLst/>
          </a:prstGeom>
          <a:noFill/>
          <a:ln>
            <a:noFill/>
          </a:ln>
        </xdr:spPr>
      </xdr:pic>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314325</xdr:colOff>
      <xdr:row>57</xdr:row>
      <xdr:rowOff>19050</xdr:rowOff>
    </xdr:from>
    <xdr:ext cx="438150" cy="438150"/>
    <xdr:grpSp>
      <xdr:nvGrpSpPr>
        <xdr:cNvPr id="2" name="Shape 2" title="Рисунок"/>
        <xdr:cNvGrpSpPr/>
      </xdr:nvGrpSpPr>
      <xdr:grpSpPr>
        <a:xfrm>
          <a:off x="152400" y="5572101"/>
          <a:ext cx="3419500" cy="3419500"/>
          <a:chOff x="152400" y="5572101"/>
          <a:chExt cx="3419500" cy="3419500"/>
        </a:xfrm>
      </xdr:grpSpPr>
      <xdr:pic>
        <xdr:nvPicPr>
          <xdr:cNvPr id="3" name="Shape 3"/>
          <xdr:cNvPicPr preferRelativeResize="0"/>
        </xdr:nvPicPr>
        <xdr:blipFill>
          <a:blip r:embed="rId1">
            <a:alphaModFix/>
          </a:blip>
          <a:stretch>
            <a:fillRect/>
          </a:stretch>
        </xdr:blipFill>
        <xdr:spPr>
          <a:xfrm>
            <a:off x="152400" y="5572101"/>
            <a:ext cx="3419500" cy="3419500"/>
          </a:xfrm>
          <a:prstGeom prst="rect">
            <a:avLst/>
          </a:prstGeom>
          <a:noFill/>
          <a:ln>
            <a:noFill/>
          </a:ln>
        </xdr:spPr>
      </xdr:pic>
    </xdr:grpSp>
    <xdr:clientData fLocksWithSheet="0"/>
  </xdr:oneCellAnchor>
  <xdr:oneCellAnchor>
    <xdr:from>
      <xdr:col>19</xdr:col>
      <xdr:colOff>304800</xdr:colOff>
      <xdr:row>57</xdr:row>
      <xdr:rowOff>19050</xdr:rowOff>
    </xdr:from>
    <xdr:ext cx="438150" cy="438150"/>
    <xdr:grpSp>
      <xdr:nvGrpSpPr>
        <xdr:cNvPr id="2" name="Shape 2" title="Рисунок"/>
        <xdr:cNvGrpSpPr/>
      </xdr:nvGrpSpPr>
      <xdr:grpSpPr>
        <a:xfrm>
          <a:off x="152400" y="7444476"/>
          <a:ext cx="1547126" cy="1547126"/>
          <a:chOff x="152400" y="7444476"/>
          <a:chExt cx="1547126" cy="1547126"/>
        </a:xfrm>
      </xdr:grpSpPr>
      <xdr:pic>
        <xdr:nvPicPr>
          <xdr:cNvPr id="4" name="Shape 4"/>
          <xdr:cNvPicPr preferRelativeResize="0"/>
        </xdr:nvPicPr>
        <xdr:blipFill>
          <a:blip r:embed="rId1">
            <a:alphaModFix/>
          </a:blip>
          <a:stretch>
            <a:fillRect/>
          </a:stretch>
        </xdr:blipFill>
        <xdr:spPr>
          <a:xfrm>
            <a:off x="152400" y="7444476"/>
            <a:ext cx="1547126" cy="1547126"/>
          </a:xfrm>
          <a:prstGeom prst="rect">
            <a:avLst/>
          </a:prstGeom>
          <a:noFill/>
          <a:ln>
            <a:noFill/>
          </a:ln>
        </xdr:spPr>
      </xdr:pic>
    </xdr:grpSp>
    <xdr:clientData fLocksWithSheet="0"/>
  </xdr:oneCellAnchor>
  <xdr:oneCellAnchor>
    <xdr:from>
      <xdr:col>19</xdr:col>
      <xdr:colOff>304800</xdr:colOff>
      <xdr:row>53</xdr:row>
      <xdr:rowOff>19050</xdr:rowOff>
    </xdr:from>
    <xdr:ext cx="438150" cy="438150"/>
    <xdr:grpSp>
      <xdr:nvGrpSpPr>
        <xdr:cNvPr id="2" name="Shape 2" title="Рисунок"/>
        <xdr:cNvGrpSpPr/>
      </xdr:nvGrpSpPr>
      <xdr:grpSpPr>
        <a:xfrm>
          <a:off x="152400" y="7521201"/>
          <a:ext cx="1470400" cy="1470400"/>
          <a:chOff x="152400" y="7521201"/>
          <a:chExt cx="1470400" cy="1470400"/>
        </a:xfrm>
      </xdr:grpSpPr>
      <xdr:pic>
        <xdr:nvPicPr>
          <xdr:cNvPr id="5" name="Shape 5"/>
          <xdr:cNvPicPr preferRelativeResize="0"/>
        </xdr:nvPicPr>
        <xdr:blipFill>
          <a:blip r:embed="rId1">
            <a:alphaModFix/>
          </a:blip>
          <a:stretch>
            <a:fillRect/>
          </a:stretch>
        </xdr:blipFill>
        <xdr:spPr>
          <a:xfrm>
            <a:off x="152400" y="7521201"/>
            <a:ext cx="1470400" cy="1470400"/>
          </a:xfrm>
          <a:prstGeom prst="rect">
            <a:avLst/>
          </a:prstGeom>
          <a:noFill/>
          <a:ln>
            <a:noFill/>
          </a:ln>
        </xdr:spPr>
      </xdr:pic>
    </xdr:grpSp>
    <xdr:clientData fLocksWithSheet="0"/>
  </xdr:oneCellAnchor>
  <xdr:oneCellAnchor>
    <xdr:from>
      <xdr:col>19</xdr:col>
      <xdr:colOff>304800</xdr:colOff>
      <xdr:row>55</xdr:row>
      <xdr:rowOff>19050</xdr:rowOff>
    </xdr:from>
    <xdr:ext cx="438150" cy="438150"/>
    <xdr:grpSp>
      <xdr:nvGrpSpPr>
        <xdr:cNvPr id="2" name="Shape 2" title="Рисунок"/>
        <xdr:cNvGrpSpPr/>
      </xdr:nvGrpSpPr>
      <xdr:grpSpPr>
        <a:xfrm>
          <a:off x="152400" y="6689026"/>
          <a:ext cx="2302574" cy="2302574"/>
          <a:chOff x="152400" y="6689026"/>
          <a:chExt cx="2302574" cy="2302574"/>
        </a:xfrm>
      </xdr:grpSpPr>
      <xdr:pic>
        <xdr:nvPicPr>
          <xdr:cNvPr id="6" name="Shape 6"/>
          <xdr:cNvPicPr preferRelativeResize="0"/>
        </xdr:nvPicPr>
        <xdr:blipFill>
          <a:blip r:embed="rId1">
            <a:alphaModFix/>
          </a:blip>
          <a:stretch>
            <a:fillRect/>
          </a:stretch>
        </xdr:blipFill>
        <xdr:spPr>
          <a:xfrm>
            <a:off x="152400" y="6689026"/>
            <a:ext cx="2302574" cy="2302574"/>
          </a:xfrm>
          <a:prstGeom prst="rect">
            <a:avLst/>
          </a:prstGeom>
          <a:noFill/>
          <a:ln>
            <a:noFill/>
          </a:ln>
        </xdr:spPr>
      </xdr:pic>
    </xdr:grpSp>
    <xdr:clientData fLocksWithSheet="0"/>
  </xdr:oneCellAnchor>
  <xdr:oneCellAnchor>
    <xdr:from>
      <xdr:col>19</xdr:col>
      <xdr:colOff>304800</xdr:colOff>
      <xdr:row>50</xdr:row>
      <xdr:rowOff>257175</xdr:rowOff>
    </xdr:from>
    <xdr:ext cx="438150" cy="438150"/>
    <xdr:grpSp>
      <xdr:nvGrpSpPr>
        <xdr:cNvPr id="2" name="Shape 2" title="Рисунок"/>
        <xdr:cNvGrpSpPr/>
      </xdr:nvGrpSpPr>
      <xdr:grpSpPr>
        <a:xfrm>
          <a:off x="2648925" y="1715776"/>
          <a:ext cx="4184876" cy="4184876"/>
          <a:chOff x="2648925" y="1715776"/>
          <a:chExt cx="4184876" cy="4184876"/>
        </a:xfrm>
      </xdr:grpSpPr>
      <xdr:pic>
        <xdr:nvPicPr>
          <xdr:cNvPr id="7" name="Shape 7"/>
          <xdr:cNvPicPr preferRelativeResize="0"/>
        </xdr:nvPicPr>
        <xdr:blipFill>
          <a:blip r:embed="rId1">
            <a:alphaModFix/>
          </a:blip>
          <a:stretch>
            <a:fillRect/>
          </a:stretch>
        </xdr:blipFill>
        <xdr:spPr>
          <a:xfrm>
            <a:off x="2648925" y="1715776"/>
            <a:ext cx="4184876" cy="4184876"/>
          </a:xfrm>
          <a:prstGeom prst="rect">
            <a:avLst/>
          </a:prstGeom>
          <a:noFill/>
          <a:ln>
            <a:noFill/>
          </a:ln>
        </xdr:spPr>
      </xdr:pic>
    </xdr:grpSp>
    <xdr:clientData fLocksWithSheet="0"/>
  </xdr:oneCellAnchor>
  <xdr:oneCellAnchor>
    <xdr:from>
      <xdr:col>1</xdr:col>
      <xdr:colOff>38100</xdr:colOff>
      <xdr:row>47</xdr:row>
      <xdr:rowOff>28575</xdr:rowOff>
    </xdr:from>
    <xdr:ext cx="990600" cy="190500"/>
    <xdr:grpSp>
      <xdr:nvGrpSpPr>
        <xdr:cNvPr id="2" name="Shape 2" title="Рисунок"/>
        <xdr:cNvGrpSpPr/>
      </xdr:nvGrpSpPr>
      <xdr:grpSpPr>
        <a:xfrm>
          <a:off x="1208100" y="2200275"/>
          <a:ext cx="5857875" cy="1314450"/>
          <a:chOff x="1208100" y="2200275"/>
          <a:chExt cx="5857875" cy="1314450"/>
        </a:xfrm>
      </xdr:grpSpPr>
      <xdr:pic>
        <xdr:nvPicPr>
          <xdr:cNvPr id="8" name="Shape 8"/>
          <xdr:cNvPicPr preferRelativeResize="0"/>
        </xdr:nvPicPr>
        <xdr:blipFill>
          <a:blip r:embed="rId2">
            <a:alphaModFix/>
          </a:blip>
          <a:stretch>
            <a:fillRect/>
          </a:stretch>
        </xdr:blipFill>
        <xdr:spPr>
          <a:xfrm>
            <a:off x="1208100" y="2200275"/>
            <a:ext cx="5857875" cy="1314450"/>
          </a:xfrm>
          <a:prstGeom prst="rect">
            <a:avLst/>
          </a:prstGeom>
          <a:noFill/>
          <a:ln>
            <a:noFill/>
          </a:ln>
        </xdr:spPr>
      </xdr:pic>
    </xdr:grpSp>
    <xdr:clientData fLocksWithSheet="0"/>
  </xdr:oneCellAnchor>
  <xdr:oneCellAnchor>
    <xdr:from>
      <xdr:col>1</xdr:col>
      <xdr:colOff>38100</xdr:colOff>
      <xdr:row>48</xdr:row>
      <xdr:rowOff>28575</xdr:rowOff>
    </xdr:from>
    <xdr:ext cx="990600" cy="190500"/>
    <xdr:grpSp>
      <xdr:nvGrpSpPr>
        <xdr:cNvPr id="2" name="Shape 2" title="Рисунок"/>
        <xdr:cNvGrpSpPr/>
      </xdr:nvGrpSpPr>
      <xdr:grpSpPr>
        <a:xfrm>
          <a:off x="152400" y="152400"/>
          <a:ext cx="5181600" cy="1257300"/>
          <a:chOff x="152400" y="152400"/>
          <a:chExt cx="5181600" cy="1257300"/>
        </a:xfrm>
      </xdr:grpSpPr>
      <xdr:pic>
        <xdr:nvPicPr>
          <xdr:cNvPr id="9" name="Shape 9"/>
          <xdr:cNvPicPr preferRelativeResize="0"/>
        </xdr:nvPicPr>
        <xdr:blipFill>
          <a:blip r:embed="rId3">
            <a:alphaModFix/>
          </a:blip>
          <a:stretch>
            <a:fillRect/>
          </a:stretch>
        </xdr:blipFill>
        <xdr:spPr>
          <a:xfrm>
            <a:off x="152400" y="152400"/>
            <a:ext cx="5181600" cy="1257300"/>
          </a:xfrm>
          <a:prstGeom prst="rect">
            <a:avLst/>
          </a:prstGeom>
          <a:noFill/>
          <a:ln>
            <a:noFill/>
          </a:ln>
        </xdr:spPr>
      </xdr:pic>
    </xdr:grpSp>
    <xdr:clientData fLocksWithSheet="0"/>
  </xdr:oneCellAnchor>
  <xdr:oneCellAnchor>
    <xdr:from>
      <xdr:col>1</xdr:col>
      <xdr:colOff>38100</xdr:colOff>
      <xdr:row>49</xdr:row>
      <xdr:rowOff>28575</xdr:rowOff>
    </xdr:from>
    <xdr:ext cx="990600" cy="190500"/>
    <xdr:grpSp>
      <xdr:nvGrpSpPr>
        <xdr:cNvPr id="2" name="Shape 2" title="Рисунок"/>
        <xdr:cNvGrpSpPr/>
      </xdr:nvGrpSpPr>
      <xdr:grpSpPr>
        <a:xfrm>
          <a:off x="152400" y="152400"/>
          <a:ext cx="5200650" cy="1257300"/>
          <a:chOff x="152400" y="152400"/>
          <a:chExt cx="5200650" cy="1257300"/>
        </a:xfrm>
      </xdr:grpSpPr>
      <xdr:pic>
        <xdr:nvPicPr>
          <xdr:cNvPr id="10" name="Shape 10"/>
          <xdr:cNvPicPr preferRelativeResize="0"/>
        </xdr:nvPicPr>
        <xdr:blipFill>
          <a:blip r:embed="rId4">
            <a:alphaModFix/>
          </a:blip>
          <a:stretch>
            <a:fillRect/>
          </a:stretch>
        </xdr:blipFill>
        <xdr:spPr>
          <a:xfrm>
            <a:off x="152400" y="152400"/>
            <a:ext cx="5200650" cy="1257300"/>
          </a:xfrm>
          <a:prstGeom prst="rect">
            <a:avLst/>
          </a:prstGeom>
          <a:noFill/>
          <a:ln>
            <a:noFill/>
          </a:ln>
        </xdr:spPr>
      </xdr:pic>
    </xdr:grpSp>
    <xdr:clientData fLocksWithSheet="0"/>
  </xdr:oneCellAnchor>
  <xdr:oneCellAnchor>
    <xdr:from>
      <xdr:col>1</xdr:col>
      <xdr:colOff>38100</xdr:colOff>
      <xdr:row>50</xdr:row>
      <xdr:rowOff>28575</xdr:rowOff>
    </xdr:from>
    <xdr:ext cx="990600" cy="190500"/>
    <xdr:grpSp>
      <xdr:nvGrpSpPr>
        <xdr:cNvPr id="2" name="Shape 2" title="Рисунок"/>
        <xdr:cNvGrpSpPr/>
      </xdr:nvGrpSpPr>
      <xdr:grpSpPr>
        <a:xfrm>
          <a:off x="152400" y="152400"/>
          <a:ext cx="5181600" cy="1238250"/>
          <a:chOff x="152400" y="152400"/>
          <a:chExt cx="5181600" cy="1238250"/>
        </a:xfrm>
      </xdr:grpSpPr>
      <xdr:pic>
        <xdr:nvPicPr>
          <xdr:cNvPr id="11" name="Shape 11"/>
          <xdr:cNvPicPr preferRelativeResize="0"/>
        </xdr:nvPicPr>
        <xdr:blipFill>
          <a:blip r:embed="rId5">
            <a:alphaModFix/>
          </a:blip>
          <a:stretch>
            <a:fillRect/>
          </a:stretch>
        </xdr:blipFill>
        <xdr:spPr>
          <a:xfrm>
            <a:off x="152400" y="152400"/>
            <a:ext cx="5181600" cy="1238250"/>
          </a:xfrm>
          <a:prstGeom prst="rect">
            <a:avLst/>
          </a:prstGeom>
          <a:noFill/>
          <a:ln>
            <a:noFill/>
          </a:ln>
        </xdr:spPr>
      </xdr:pic>
    </xdr:grpSp>
    <xdr:clientData fLocksWithSheet="0"/>
  </xdr:oneCellAnchor>
  <xdr:oneCellAnchor>
    <xdr:from>
      <xdr:col>1</xdr:col>
      <xdr:colOff>38100</xdr:colOff>
      <xdr:row>51</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2" name="Shape 12"/>
          <xdr:cNvPicPr preferRelativeResize="0"/>
        </xdr:nvPicPr>
        <xdr:blipFill>
          <a:blip r:embed="rId6">
            <a:alphaModFix/>
          </a:blip>
          <a:stretch>
            <a:fillRect/>
          </a:stretch>
        </xdr:blipFill>
        <xdr:spPr>
          <a:xfrm>
            <a:off x="152400" y="152400"/>
            <a:ext cx="5219700" cy="1257300"/>
          </a:xfrm>
          <a:prstGeom prst="rect">
            <a:avLst/>
          </a:prstGeom>
          <a:noFill/>
          <a:ln>
            <a:noFill/>
          </a:ln>
        </xdr:spPr>
      </xdr:pic>
    </xdr:grpSp>
    <xdr:clientData fLocksWithSheet="0"/>
  </xdr:oneCellAnchor>
  <xdr:oneCellAnchor>
    <xdr:from>
      <xdr:col>1</xdr:col>
      <xdr:colOff>38100</xdr:colOff>
      <xdr:row>52</xdr:row>
      <xdr:rowOff>19050</xdr:rowOff>
    </xdr:from>
    <xdr:ext cx="990600" cy="190500"/>
    <xdr:grpSp>
      <xdr:nvGrpSpPr>
        <xdr:cNvPr id="2" name="Shape 2" title="Рисунок"/>
        <xdr:cNvGrpSpPr/>
      </xdr:nvGrpSpPr>
      <xdr:grpSpPr>
        <a:xfrm>
          <a:off x="152400" y="152400"/>
          <a:ext cx="5200650" cy="1276350"/>
          <a:chOff x="152400" y="152400"/>
          <a:chExt cx="5200650" cy="1276350"/>
        </a:xfrm>
      </xdr:grpSpPr>
      <xdr:pic>
        <xdr:nvPicPr>
          <xdr:cNvPr id="13" name="Shape 13"/>
          <xdr:cNvPicPr preferRelativeResize="0"/>
        </xdr:nvPicPr>
        <xdr:blipFill>
          <a:blip r:embed="rId7">
            <a:alphaModFix/>
          </a:blip>
          <a:stretch>
            <a:fillRect/>
          </a:stretch>
        </xdr:blipFill>
        <xdr:spPr>
          <a:xfrm>
            <a:off x="152400" y="152400"/>
            <a:ext cx="5200650" cy="1276350"/>
          </a:xfrm>
          <a:prstGeom prst="rect">
            <a:avLst/>
          </a:prstGeom>
          <a:noFill/>
          <a:ln>
            <a:noFill/>
          </a:ln>
        </xdr:spPr>
      </xdr:pic>
    </xdr:grpSp>
    <xdr:clientData fLocksWithSheet="0"/>
  </xdr:oneCellAnchor>
  <xdr:oneCellAnchor>
    <xdr:from>
      <xdr:col>1</xdr:col>
      <xdr:colOff>38100</xdr:colOff>
      <xdr:row>53</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4" name="Shape 14"/>
          <xdr:cNvPicPr preferRelativeResize="0"/>
        </xdr:nvPicPr>
        <xdr:blipFill>
          <a:blip r:embed="rId8">
            <a:alphaModFix/>
          </a:blip>
          <a:stretch>
            <a:fillRect/>
          </a:stretch>
        </xdr:blipFill>
        <xdr:spPr>
          <a:xfrm>
            <a:off x="152400" y="152400"/>
            <a:ext cx="5219700" cy="1257300"/>
          </a:xfrm>
          <a:prstGeom prst="rect">
            <a:avLst/>
          </a:prstGeom>
          <a:noFill/>
          <a:ln>
            <a:noFill/>
          </a:ln>
        </xdr:spPr>
      </xdr:pic>
    </xdr:grp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314325</xdr:colOff>
      <xdr:row>57</xdr:row>
      <xdr:rowOff>19050</xdr:rowOff>
    </xdr:from>
    <xdr:ext cx="438150" cy="438150"/>
    <xdr:grpSp>
      <xdr:nvGrpSpPr>
        <xdr:cNvPr id="2" name="Shape 2" title="Рисунок"/>
        <xdr:cNvGrpSpPr/>
      </xdr:nvGrpSpPr>
      <xdr:grpSpPr>
        <a:xfrm>
          <a:off x="152400" y="5572101"/>
          <a:ext cx="3419500" cy="3419500"/>
          <a:chOff x="152400" y="5572101"/>
          <a:chExt cx="3419500" cy="3419500"/>
        </a:xfrm>
      </xdr:grpSpPr>
      <xdr:pic>
        <xdr:nvPicPr>
          <xdr:cNvPr id="3" name="Shape 3"/>
          <xdr:cNvPicPr preferRelativeResize="0"/>
        </xdr:nvPicPr>
        <xdr:blipFill>
          <a:blip r:embed="rId1">
            <a:alphaModFix/>
          </a:blip>
          <a:stretch>
            <a:fillRect/>
          </a:stretch>
        </xdr:blipFill>
        <xdr:spPr>
          <a:xfrm>
            <a:off x="152400" y="5572101"/>
            <a:ext cx="3419500" cy="3419500"/>
          </a:xfrm>
          <a:prstGeom prst="rect">
            <a:avLst/>
          </a:prstGeom>
          <a:noFill/>
          <a:ln>
            <a:noFill/>
          </a:ln>
        </xdr:spPr>
      </xdr:pic>
    </xdr:grpSp>
    <xdr:clientData fLocksWithSheet="0"/>
  </xdr:oneCellAnchor>
  <xdr:oneCellAnchor>
    <xdr:from>
      <xdr:col>19</xdr:col>
      <xdr:colOff>304800</xdr:colOff>
      <xdr:row>57</xdr:row>
      <xdr:rowOff>19050</xdr:rowOff>
    </xdr:from>
    <xdr:ext cx="438150" cy="438150"/>
    <xdr:grpSp>
      <xdr:nvGrpSpPr>
        <xdr:cNvPr id="2" name="Shape 2" title="Рисунок"/>
        <xdr:cNvGrpSpPr/>
      </xdr:nvGrpSpPr>
      <xdr:grpSpPr>
        <a:xfrm>
          <a:off x="152400" y="7444476"/>
          <a:ext cx="1547126" cy="1547126"/>
          <a:chOff x="152400" y="7444476"/>
          <a:chExt cx="1547126" cy="1547126"/>
        </a:xfrm>
      </xdr:grpSpPr>
      <xdr:pic>
        <xdr:nvPicPr>
          <xdr:cNvPr id="4" name="Shape 4"/>
          <xdr:cNvPicPr preferRelativeResize="0"/>
        </xdr:nvPicPr>
        <xdr:blipFill>
          <a:blip r:embed="rId1">
            <a:alphaModFix/>
          </a:blip>
          <a:stretch>
            <a:fillRect/>
          </a:stretch>
        </xdr:blipFill>
        <xdr:spPr>
          <a:xfrm>
            <a:off x="152400" y="7444476"/>
            <a:ext cx="1547126" cy="1547126"/>
          </a:xfrm>
          <a:prstGeom prst="rect">
            <a:avLst/>
          </a:prstGeom>
          <a:noFill/>
          <a:ln>
            <a:noFill/>
          </a:ln>
        </xdr:spPr>
      </xdr:pic>
    </xdr:grpSp>
    <xdr:clientData fLocksWithSheet="0"/>
  </xdr:oneCellAnchor>
  <xdr:oneCellAnchor>
    <xdr:from>
      <xdr:col>19</xdr:col>
      <xdr:colOff>304800</xdr:colOff>
      <xdr:row>53</xdr:row>
      <xdr:rowOff>19050</xdr:rowOff>
    </xdr:from>
    <xdr:ext cx="438150" cy="438150"/>
    <xdr:grpSp>
      <xdr:nvGrpSpPr>
        <xdr:cNvPr id="2" name="Shape 2" title="Рисунок"/>
        <xdr:cNvGrpSpPr/>
      </xdr:nvGrpSpPr>
      <xdr:grpSpPr>
        <a:xfrm>
          <a:off x="152400" y="7521201"/>
          <a:ext cx="1470400" cy="1470400"/>
          <a:chOff x="152400" y="7521201"/>
          <a:chExt cx="1470400" cy="1470400"/>
        </a:xfrm>
      </xdr:grpSpPr>
      <xdr:pic>
        <xdr:nvPicPr>
          <xdr:cNvPr id="5" name="Shape 5"/>
          <xdr:cNvPicPr preferRelativeResize="0"/>
        </xdr:nvPicPr>
        <xdr:blipFill>
          <a:blip r:embed="rId1">
            <a:alphaModFix/>
          </a:blip>
          <a:stretch>
            <a:fillRect/>
          </a:stretch>
        </xdr:blipFill>
        <xdr:spPr>
          <a:xfrm>
            <a:off x="152400" y="7521201"/>
            <a:ext cx="1470400" cy="1470400"/>
          </a:xfrm>
          <a:prstGeom prst="rect">
            <a:avLst/>
          </a:prstGeom>
          <a:noFill/>
          <a:ln>
            <a:noFill/>
          </a:ln>
        </xdr:spPr>
      </xdr:pic>
    </xdr:grpSp>
    <xdr:clientData fLocksWithSheet="0"/>
  </xdr:oneCellAnchor>
  <xdr:oneCellAnchor>
    <xdr:from>
      <xdr:col>19</xdr:col>
      <xdr:colOff>304800</xdr:colOff>
      <xdr:row>55</xdr:row>
      <xdr:rowOff>19050</xdr:rowOff>
    </xdr:from>
    <xdr:ext cx="438150" cy="438150"/>
    <xdr:grpSp>
      <xdr:nvGrpSpPr>
        <xdr:cNvPr id="2" name="Shape 2" title="Рисунок"/>
        <xdr:cNvGrpSpPr/>
      </xdr:nvGrpSpPr>
      <xdr:grpSpPr>
        <a:xfrm>
          <a:off x="152400" y="6689026"/>
          <a:ext cx="2302574" cy="2302574"/>
          <a:chOff x="152400" y="6689026"/>
          <a:chExt cx="2302574" cy="2302574"/>
        </a:xfrm>
      </xdr:grpSpPr>
      <xdr:pic>
        <xdr:nvPicPr>
          <xdr:cNvPr id="6" name="Shape 6"/>
          <xdr:cNvPicPr preferRelativeResize="0"/>
        </xdr:nvPicPr>
        <xdr:blipFill>
          <a:blip r:embed="rId1">
            <a:alphaModFix/>
          </a:blip>
          <a:stretch>
            <a:fillRect/>
          </a:stretch>
        </xdr:blipFill>
        <xdr:spPr>
          <a:xfrm>
            <a:off x="152400" y="6689026"/>
            <a:ext cx="2302574" cy="2302574"/>
          </a:xfrm>
          <a:prstGeom prst="rect">
            <a:avLst/>
          </a:prstGeom>
          <a:noFill/>
          <a:ln>
            <a:noFill/>
          </a:ln>
        </xdr:spPr>
      </xdr:pic>
    </xdr:grpSp>
    <xdr:clientData fLocksWithSheet="0"/>
  </xdr:oneCellAnchor>
  <xdr:oneCellAnchor>
    <xdr:from>
      <xdr:col>19</xdr:col>
      <xdr:colOff>304800</xdr:colOff>
      <xdr:row>50</xdr:row>
      <xdr:rowOff>257175</xdr:rowOff>
    </xdr:from>
    <xdr:ext cx="438150" cy="438150"/>
    <xdr:grpSp>
      <xdr:nvGrpSpPr>
        <xdr:cNvPr id="2" name="Shape 2" title="Рисунок"/>
        <xdr:cNvGrpSpPr/>
      </xdr:nvGrpSpPr>
      <xdr:grpSpPr>
        <a:xfrm>
          <a:off x="2648925" y="1715776"/>
          <a:ext cx="4184876" cy="4184876"/>
          <a:chOff x="2648925" y="1715776"/>
          <a:chExt cx="4184876" cy="4184876"/>
        </a:xfrm>
      </xdr:grpSpPr>
      <xdr:pic>
        <xdr:nvPicPr>
          <xdr:cNvPr id="7" name="Shape 7"/>
          <xdr:cNvPicPr preferRelativeResize="0"/>
        </xdr:nvPicPr>
        <xdr:blipFill>
          <a:blip r:embed="rId1">
            <a:alphaModFix/>
          </a:blip>
          <a:stretch>
            <a:fillRect/>
          </a:stretch>
        </xdr:blipFill>
        <xdr:spPr>
          <a:xfrm>
            <a:off x="2648925" y="1715776"/>
            <a:ext cx="4184876" cy="4184876"/>
          </a:xfrm>
          <a:prstGeom prst="rect">
            <a:avLst/>
          </a:prstGeom>
          <a:noFill/>
          <a:ln>
            <a:noFill/>
          </a:ln>
        </xdr:spPr>
      </xdr:pic>
    </xdr:grpSp>
    <xdr:clientData fLocksWithSheet="0"/>
  </xdr:oneCellAnchor>
  <xdr:oneCellAnchor>
    <xdr:from>
      <xdr:col>1</xdr:col>
      <xdr:colOff>38100</xdr:colOff>
      <xdr:row>47</xdr:row>
      <xdr:rowOff>28575</xdr:rowOff>
    </xdr:from>
    <xdr:ext cx="990600" cy="190500"/>
    <xdr:grpSp>
      <xdr:nvGrpSpPr>
        <xdr:cNvPr id="2" name="Shape 2" title="Рисунок"/>
        <xdr:cNvGrpSpPr/>
      </xdr:nvGrpSpPr>
      <xdr:grpSpPr>
        <a:xfrm>
          <a:off x="1208100" y="2200275"/>
          <a:ext cx="5857875" cy="1314450"/>
          <a:chOff x="1208100" y="2200275"/>
          <a:chExt cx="5857875" cy="1314450"/>
        </a:xfrm>
      </xdr:grpSpPr>
      <xdr:pic>
        <xdr:nvPicPr>
          <xdr:cNvPr id="8" name="Shape 8"/>
          <xdr:cNvPicPr preferRelativeResize="0"/>
        </xdr:nvPicPr>
        <xdr:blipFill>
          <a:blip r:embed="rId2">
            <a:alphaModFix/>
          </a:blip>
          <a:stretch>
            <a:fillRect/>
          </a:stretch>
        </xdr:blipFill>
        <xdr:spPr>
          <a:xfrm>
            <a:off x="1208100" y="2200275"/>
            <a:ext cx="5857875" cy="1314450"/>
          </a:xfrm>
          <a:prstGeom prst="rect">
            <a:avLst/>
          </a:prstGeom>
          <a:noFill/>
          <a:ln>
            <a:noFill/>
          </a:ln>
        </xdr:spPr>
      </xdr:pic>
    </xdr:grpSp>
    <xdr:clientData fLocksWithSheet="0"/>
  </xdr:oneCellAnchor>
  <xdr:oneCellAnchor>
    <xdr:from>
      <xdr:col>1</xdr:col>
      <xdr:colOff>38100</xdr:colOff>
      <xdr:row>48</xdr:row>
      <xdr:rowOff>28575</xdr:rowOff>
    </xdr:from>
    <xdr:ext cx="990600" cy="190500"/>
    <xdr:grpSp>
      <xdr:nvGrpSpPr>
        <xdr:cNvPr id="2" name="Shape 2" title="Рисунок"/>
        <xdr:cNvGrpSpPr/>
      </xdr:nvGrpSpPr>
      <xdr:grpSpPr>
        <a:xfrm>
          <a:off x="152400" y="152400"/>
          <a:ext cx="5181600" cy="1257300"/>
          <a:chOff x="152400" y="152400"/>
          <a:chExt cx="5181600" cy="1257300"/>
        </a:xfrm>
      </xdr:grpSpPr>
      <xdr:pic>
        <xdr:nvPicPr>
          <xdr:cNvPr id="9" name="Shape 9"/>
          <xdr:cNvPicPr preferRelativeResize="0"/>
        </xdr:nvPicPr>
        <xdr:blipFill>
          <a:blip r:embed="rId3">
            <a:alphaModFix/>
          </a:blip>
          <a:stretch>
            <a:fillRect/>
          </a:stretch>
        </xdr:blipFill>
        <xdr:spPr>
          <a:xfrm>
            <a:off x="152400" y="152400"/>
            <a:ext cx="5181600" cy="1257300"/>
          </a:xfrm>
          <a:prstGeom prst="rect">
            <a:avLst/>
          </a:prstGeom>
          <a:noFill/>
          <a:ln>
            <a:noFill/>
          </a:ln>
        </xdr:spPr>
      </xdr:pic>
    </xdr:grpSp>
    <xdr:clientData fLocksWithSheet="0"/>
  </xdr:oneCellAnchor>
  <xdr:oneCellAnchor>
    <xdr:from>
      <xdr:col>1</xdr:col>
      <xdr:colOff>38100</xdr:colOff>
      <xdr:row>49</xdr:row>
      <xdr:rowOff>28575</xdr:rowOff>
    </xdr:from>
    <xdr:ext cx="990600" cy="190500"/>
    <xdr:grpSp>
      <xdr:nvGrpSpPr>
        <xdr:cNvPr id="2" name="Shape 2" title="Рисунок"/>
        <xdr:cNvGrpSpPr/>
      </xdr:nvGrpSpPr>
      <xdr:grpSpPr>
        <a:xfrm>
          <a:off x="152400" y="152400"/>
          <a:ext cx="5200650" cy="1257300"/>
          <a:chOff x="152400" y="152400"/>
          <a:chExt cx="5200650" cy="1257300"/>
        </a:xfrm>
      </xdr:grpSpPr>
      <xdr:pic>
        <xdr:nvPicPr>
          <xdr:cNvPr id="10" name="Shape 10"/>
          <xdr:cNvPicPr preferRelativeResize="0"/>
        </xdr:nvPicPr>
        <xdr:blipFill>
          <a:blip r:embed="rId4">
            <a:alphaModFix/>
          </a:blip>
          <a:stretch>
            <a:fillRect/>
          </a:stretch>
        </xdr:blipFill>
        <xdr:spPr>
          <a:xfrm>
            <a:off x="152400" y="152400"/>
            <a:ext cx="5200650" cy="1257300"/>
          </a:xfrm>
          <a:prstGeom prst="rect">
            <a:avLst/>
          </a:prstGeom>
          <a:noFill/>
          <a:ln>
            <a:noFill/>
          </a:ln>
        </xdr:spPr>
      </xdr:pic>
    </xdr:grpSp>
    <xdr:clientData fLocksWithSheet="0"/>
  </xdr:oneCellAnchor>
  <xdr:oneCellAnchor>
    <xdr:from>
      <xdr:col>1</xdr:col>
      <xdr:colOff>38100</xdr:colOff>
      <xdr:row>50</xdr:row>
      <xdr:rowOff>28575</xdr:rowOff>
    </xdr:from>
    <xdr:ext cx="990600" cy="190500"/>
    <xdr:grpSp>
      <xdr:nvGrpSpPr>
        <xdr:cNvPr id="2" name="Shape 2" title="Рисунок"/>
        <xdr:cNvGrpSpPr/>
      </xdr:nvGrpSpPr>
      <xdr:grpSpPr>
        <a:xfrm>
          <a:off x="152400" y="152400"/>
          <a:ext cx="5181600" cy="1238250"/>
          <a:chOff x="152400" y="152400"/>
          <a:chExt cx="5181600" cy="1238250"/>
        </a:xfrm>
      </xdr:grpSpPr>
      <xdr:pic>
        <xdr:nvPicPr>
          <xdr:cNvPr id="11" name="Shape 11"/>
          <xdr:cNvPicPr preferRelativeResize="0"/>
        </xdr:nvPicPr>
        <xdr:blipFill>
          <a:blip r:embed="rId5">
            <a:alphaModFix/>
          </a:blip>
          <a:stretch>
            <a:fillRect/>
          </a:stretch>
        </xdr:blipFill>
        <xdr:spPr>
          <a:xfrm>
            <a:off x="152400" y="152400"/>
            <a:ext cx="5181600" cy="1238250"/>
          </a:xfrm>
          <a:prstGeom prst="rect">
            <a:avLst/>
          </a:prstGeom>
          <a:noFill/>
          <a:ln>
            <a:noFill/>
          </a:ln>
        </xdr:spPr>
      </xdr:pic>
    </xdr:grpSp>
    <xdr:clientData fLocksWithSheet="0"/>
  </xdr:oneCellAnchor>
  <xdr:oneCellAnchor>
    <xdr:from>
      <xdr:col>1</xdr:col>
      <xdr:colOff>38100</xdr:colOff>
      <xdr:row>51</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2" name="Shape 12"/>
          <xdr:cNvPicPr preferRelativeResize="0"/>
        </xdr:nvPicPr>
        <xdr:blipFill>
          <a:blip r:embed="rId6">
            <a:alphaModFix/>
          </a:blip>
          <a:stretch>
            <a:fillRect/>
          </a:stretch>
        </xdr:blipFill>
        <xdr:spPr>
          <a:xfrm>
            <a:off x="152400" y="152400"/>
            <a:ext cx="5219700" cy="1257300"/>
          </a:xfrm>
          <a:prstGeom prst="rect">
            <a:avLst/>
          </a:prstGeom>
          <a:noFill/>
          <a:ln>
            <a:noFill/>
          </a:ln>
        </xdr:spPr>
      </xdr:pic>
    </xdr:grpSp>
    <xdr:clientData fLocksWithSheet="0"/>
  </xdr:oneCellAnchor>
  <xdr:oneCellAnchor>
    <xdr:from>
      <xdr:col>1</xdr:col>
      <xdr:colOff>38100</xdr:colOff>
      <xdr:row>52</xdr:row>
      <xdr:rowOff>19050</xdr:rowOff>
    </xdr:from>
    <xdr:ext cx="990600" cy="190500"/>
    <xdr:grpSp>
      <xdr:nvGrpSpPr>
        <xdr:cNvPr id="2" name="Shape 2" title="Рисунок"/>
        <xdr:cNvGrpSpPr/>
      </xdr:nvGrpSpPr>
      <xdr:grpSpPr>
        <a:xfrm>
          <a:off x="152400" y="152400"/>
          <a:ext cx="5200650" cy="1276350"/>
          <a:chOff x="152400" y="152400"/>
          <a:chExt cx="5200650" cy="1276350"/>
        </a:xfrm>
      </xdr:grpSpPr>
      <xdr:pic>
        <xdr:nvPicPr>
          <xdr:cNvPr id="13" name="Shape 13"/>
          <xdr:cNvPicPr preferRelativeResize="0"/>
        </xdr:nvPicPr>
        <xdr:blipFill>
          <a:blip r:embed="rId7">
            <a:alphaModFix/>
          </a:blip>
          <a:stretch>
            <a:fillRect/>
          </a:stretch>
        </xdr:blipFill>
        <xdr:spPr>
          <a:xfrm>
            <a:off x="152400" y="152400"/>
            <a:ext cx="5200650" cy="1276350"/>
          </a:xfrm>
          <a:prstGeom prst="rect">
            <a:avLst/>
          </a:prstGeom>
          <a:noFill/>
          <a:ln>
            <a:noFill/>
          </a:ln>
        </xdr:spPr>
      </xdr:pic>
    </xdr:grpSp>
    <xdr:clientData fLocksWithSheet="0"/>
  </xdr:oneCellAnchor>
  <xdr:oneCellAnchor>
    <xdr:from>
      <xdr:col>1</xdr:col>
      <xdr:colOff>38100</xdr:colOff>
      <xdr:row>53</xdr:row>
      <xdr:rowOff>19050</xdr:rowOff>
    </xdr:from>
    <xdr:ext cx="990600" cy="190500"/>
    <xdr:grpSp>
      <xdr:nvGrpSpPr>
        <xdr:cNvPr id="2" name="Shape 2" title="Рисунок"/>
        <xdr:cNvGrpSpPr/>
      </xdr:nvGrpSpPr>
      <xdr:grpSpPr>
        <a:xfrm>
          <a:off x="152400" y="152400"/>
          <a:ext cx="5219700" cy="1257300"/>
          <a:chOff x="152400" y="152400"/>
          <a:chExt cx="5219700" cy="1257300"/>
        </a:xfrm>
      </xdr:grpSpPr>
      <xdr:pic>
        <xdr:nvPicPr>
          <xdr:cNvPr id="14" name="Shape 14"/>
          <xdr:cNvPicPr preferRelativeResize="0"/>
        </xdr:nvPicPr>
        <xdr:blipFill>
          <a:blip r:embed="rId8">
            <a:alphaModFix/>
          </a:blip>
          <a:stretch>
            <a:fillRect/>
          </a:stretch>
        </xdr:blipFill>
        <xdr:spPr>
          <a:xfrm>
            <a:off x="152400" y="152400"/>
            <a:ext cx="5219700" cy="1257300"/>
          </a:xfrm>
          <a:prstGeom prst="rect">
            <a:avLst/>
          </a:prstGeom>
          <a:noFill/>
          <a:ln>
            <a:noFill/>
          </a:ln>
        </xdr:spPr>
      </xdr:pic>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X114" displayName="БАЗА" name="БАЗА" id="1">
  <autoFilter ref="$A$1:$X$114"/>
  <tableColumns count="24">
    <tableColumn name="Column 23" id="1"/>
    <tableColumn name="ПЕРСОНАЖ" id="2"/>
    <tableColumn name="СТИХИЯ" id="3"/>
    <tableColumn name="ОРУЖИЕ" id="4"/>
    <tableColumn name="РОТАЦИЯ (СЕК)" id="5"/>
    <tableColumn name="Р3" id="6"/>
    <tableColumn name="Р. МАКС" id="7"/>
    <tableColumn name="Р4" id="8"/>
    <tableColumn name="УРОН НА ПОЛЕ (ТЫС)" id="9"/>
    <tableColumn name="Р2" id="10"/>
    <tableColumn name="УНП. МАКС" id="11"/>
    <tableColumn name="Р1" id="12"/>
    <tableColumn name="РЕАКЦИЯ" id="13"/>
    <tableColumn name="УРОН С КАРМАНА (ТЫС)" id="14"/>
    <tableColumn name="УСК. МАКС" id="15"/>
    <tableColumn name="Р." id="16"/>
    <tableColumn name="ДЕ\БАФФ" id="17"/>
    <tableColumn name="ХИЛ(ТЫС)" id="18"/>
    <tableColumn name="ЩИТ(ТЫС)" id="19"/>
    <tableColumn name="ЭНЕРГИЯ(ЭЧ.)" id="20"/>
    <tableColumn name="СТАТУС(СС)" id="21"/>
    <tableColumn name="ГИБКОСТЬ" id="22"/>
    <tableColumn name="СТОЙКОСТЬ" id="23"/>
    <tableColumn name="БОНУС" id="24"/>
  </tableColumns>
  <tableStyleInfo name="ЭФФЕКТИВНОСТЬ-style" showColumnStripes="0" showFirstColumn="1" showLastColumn="1" showRowStripes="1"/>
</table>
</file>

<file path=xl/tables/table2.xml><?xml version="1.0" encoding="utf-8"?>
<table xmlns="http://schemas.openxmlformats.org/spreadsheetml/2006/main" ref="A1:M50" displayName="ДПМ_МЕТР" name="ДПМ_МЕТР" id="2">
  <autoFilter ref="$A$1:$M$50"/>
  <tableColumns count="13">
    <tableColumn name="1й ПЕРС" id="1"/>
    <tableColumn name="УРОН 1й" id="2"/>
    <tableColumn name="2й ПЕРС" id="3"/>
    <tableColumn name="УРОН 2й" id="4"/>
    <tableColumn name="3й ПЕРС" id="5"/>
    <tableColumn name="УРОН 3й" id="6"/>
    <tableColumn name="4й ПЕРС" id="7"/>
    <tableColumn name="УРОН 4й" id="8"/>
    <tableColumn name="РОТАЦИЯ" id="9"/>
    <tableColumn name="УРОН ЗА РОТАЦИЮ" id="10"/>
    <tableColumn name="ДПС" id="11"/>
    <tableColumn name="ДПМ" id="12"/>
    <tableColumn name="КОНСТ ДД" id="13"/>
  </tableColumns>
  <tableStyleInfo name="ДПСДПМ-style" showColumnStripes="0" showFirstColumn="1" showLastColumn="1" showRowStripes="1"/>
</table>
</file>

<file path=xl/tables/table3.xml><?xml version="1.0" encoding="utf-8"?>
<table xmlns="http://schemas.openxmlformats.org/spreadsheetml/2006/main" ref="A1:J114" displayName="ПОЛЬЗА" name="ПОЛЬЗА" id="3">
  <autoFilter ref="$A$1:$J$114"/>
  <tableColumns count="10">
    <tableColumn name="ПЕРСОНАЖ" id="1"/>
    <tableColumn name="С0" id="2"/>
    <tableColumn name="С1" id="3"/>
    <tableColumn name="С2" id="4"/>
    <tableColumn name="С3" id="5"/>
    <tableColumn name="С4" id="6"/>
    <tableColumn name="С5" id="7"/>
    <tableColumn name="С6" id="8"/>
    <tableColumn name="СТИХИЯ" id="9"/>
    <tableColumn name="РЕДКОСТЬ" id="10"/>
  </tableColumns>
  <tableStyleInfo name="КОСТ-style" showColumnStripes="0" showFirstColumn="1" showLastColumn="1" showRowStripes="1"/>
</table>
</file>

<file path=xl/tables/table4.xml><?xml version="1.0" encoding="utf-8"?>
<table xmlns="http://schemas.openxmlformats.org/spreadsheetml/2006/main" ref="A1:G43" displayName="АРТЫ" name="АРТЫ" id="4">
  <autoFilter ref="$A$1:$G$43"/>
  <tableColumns count="7">
    <tableColumn name="АРТ" id="1"/>
    <tableColumn name="НАЗВАНИЕ" id="2"/>
    <tableColumn name="СИЛА АРТА" id="3"/>
    <tableColumn name="ГИБКОСТЬ" id="4"/>
    <tableColumn name="1№" id="5"/>
    <tableColumn name="2№" id="6"/>
    <tableColumn name="3№" id="7"/>
  </tableColumns>
  <tableStyleInfo name="АРТЕФАКТЫ-style" showColumnStripes="0" showFirstColumn="1" showLastColumn="1" showRowStripes="1"/>
</table>
</file>

<file path=xl/tables/table5.xml><?xml version="1.0" encoding="utf-8"?>
<table xmlns="http://schemas.openxmlformats.org/spreadsheetml/2006/main" ref="A1:E48" displayName="ОДНОРУК_" name="ОДНОРУК_" id="5">
  <tableColumns count="5">
    <tableColumn name="ОРУЖИЕ" id="1"/>
    <tableColumn name="ПОЛЬЗА" id="2"/>
    <tableColumn name="ГИБКОСТЬ" id="3"/>
    <tableColumn name="КОСТ" id="4"/>
    <tableColumn name="ИТОГ" id="5"/>
  </tableColumns>
  <tableStyleInfo name="ОРУЖИЕ-style" showColumnStripes="0" showFirstColumn="1" showLastColumn="1" showRowStripes="1"/>
</table>
</file>

<file path=xl/tables/table6.xml><?xml version="1.0" encoding="utf-8"?>
<table xmlns="http://schemas.openxmlformats.org/spreadsheetml/2006/main" ref="G1:K48" displayName="КАТАЛИЗАТОР_" name="КАТАЛИЗАТОР_" id="6">
  <tableColumns count="5">
    <tableColumn name="ОРУЖИЕ" id="1"/>
    <tableColumn name="ПОЛЬЗА" id="2"/>
    <tableColumn name="ГИБКОСТЬ" id="3"/>
    <tableColumn name="КОСТ" id="4"/>
    <tableColumn name="ИТОГ" id="5"/>
  </tableColumns>
  <tableStyleInfo name="ОРУЖИЕ-style 2" showColumnStripes="0" showFirstColumn="1" showLastColumn="1" showRowStripes="1"/>
</table>
</file>

<file path=xl/tables/table7.xml><?xml version="1.0" encoding="utf-8"?>
<table xmlns="http://schemas.openxmlformats.org/spreadsheetml/2006/main" ref="M1:Q48" displayName="СТРЕЛКОВОЕ_" name="СТРЕЛКОВОЕ_" id="7">
  <tableColumns count="5">
    <tableColumn name="ОРУЖИЕ" id="1"/>
    <tableColumn name="ПОЛЬЗА" id="2"/>
    <tableColumn name="ГИБКОСТЬ" id="3"/>
    <tableColumn name="КОСТ" id="4"/>
    <tableColumn name="ИТОГ" id="5"/>
  </tableColumns>
  <tableStyleInfo name="ОРУЖИЕ-style 3" showColumnStripes="0" showFirstColumn="1" showLastColumn="1" showRowStripes="1"/>
</table>
</file>

<file path=xl/tables/table8.xml><?xml version="1.0" encoding="utf-8"?>
<table xmlns="http://schemas.openxmlformats.org/spreadsheetml/2006/main" ref="S1:W48" displayName="ДРЕВКОВОЕ_" name="ДРЕВКОВОЕ_" id="8">
  <tableColumns count="5">
    <tableColumn name="ОРУЖИЕ" id="1"/>
    <tableColumn name="ПОЛЬЗА" id="2"/>
    <tableColumn name="ГИБКОСТЬ" id="3"/>
    <tableColumn name="КОСТ" id="4"/>
    <tableColumn name="ИТОГ" id="5"/>
  </tableColumns>
  <tableStyleInfo name="ОРУЖИЕ-style 4" showColumnStripes="0" showFirstColumn="1" showLastColumn="1" showRowStripes="1"/>
</table>
</file>

<file path=xl/tables/table9.xml><?xml version="1.0" encoding="utf-8"?>
<table xmlns="http://schemas.openxmlformats.org/spreadsheetml/2006/main" ref="Y1:AC48" displayName="ДВУРУК_" name="ДВУРУК_" id="9">
  <tableColumns count="5">
    <tableColumn name="ОРУЖИЕ" id="1"/>
    <tableColumn name="ПОЛЬЗА" id="2"/>
    <tableColumn name="ГИБКОСТЬ" id="3"/>
    <tableColumn name="КОСТ" id="4"/>
    <tableColumn name="ИТОГ" id="5"/>
  </tableColumns>
  <tableStyleInfo name="ОРУЖИЕ-style 5"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vmlDrawing" Target="../drawings/vmlDrawing1.vml"/><Relationship Id="rId10"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youtu.be/hcDyvEMN_NM" TargetMode="External"/><Relationship Id="rId3" Type="http://schemas.openxmlformats.org/officeDocument/2006/relationships/hyperlink" Target="https://www.youtube.com/channel/UCIOo8wfa1HNJNp8kP4GsDwg" TargetMode="External"/><Relationship Id="rId4" Type="http://schemas.openxmlformats.org/officeDocument/2006/relationships/hyperlink" Target="https://boosty.to/bigozi" TargetMode="External"/><Relationship Id="rId9" Type="http://schemas.openxmlformats.org/officeDocument/2006/relationships/hyperlink" Target="https://www.youtube.com/watch?v=mSKpi_mNrBU&amp;ab_channel=ARATAKIOZI" TargetMode="External"/><Relationship Id="rId5" Type="http://schemas.openxmlformats.org/officeDocument/2006/relationships/hyperlink" Target="http://t.me/BigOzi" TargetMode="External"/><Relationship Id="rId6" Type="http://schemas.openxmlformats.org/officeDocument/2006/relationships/hyperlink" Target="https://youtu.be/mSKpi_mNrBU" TargetMode="External"/><Relationship Id="rId7" Type="http://schemas.openxmlformats.org/officeDocument/2006/relationships/hyperlink" Target="https://boosty.to/bigozi/donate" TargetMode="External"/><Relationship Id="rId8" Type="http://schemas.openxmlformats.org/officeDocument/2006/relationships/hyperlink" Target="https://boosty.to/bigozi/posts/475f34ee-756d-4276-b2c5-656dc8922de0?share=post_link"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genshin.aspirine.su/" TargetMode="External"/><Relationship Id="rId190" Type="http://schemas.openxmlformats.org/officeDocument/2006/relationships/hyperlink" Target="https://genshin.aspirine.su/" TargetMode="External"/><Relationship Id="rId42" Type="http://schemas.openxmlformats.org/officeDocument/2006/relationships/hyperlink" Target="https://genshin.aspirine.su/#bCbDmggkkkbcGhDmgbbbdfbBafubbegGchxkFzfHwbBafuccekFzeGchBvjDabBafuddekLrjEfctbLnbBafuenejDaiJtkFzbKjbBafufjectkKubKjdCrbrgDmcbabrdjaDjaDbadajaabbcaaabKwcaaabBkbaaabBjbaaadecaabbcaaabmbaaabLbcaaabBubaaabBzfaaabCaeadaaahttps://genshin.aspirine.su/#bCbDmggkkkbcGhDmgbbbdfbBafubbegGchxkFzfHwbBafuccekFzeGchBvjDabBafuddekLrjEfctbLnbBafuenejDaiJtkFzbKjbBafufjectkKubKjdCrbrgDmcbabrdjaDjaDbadajaabbcaaabKwcaaabBkbaaabBjbaaadecaabbcaaabmbaaabLbcaaabBubaaabBzfaaabCaeadaaa" TargetMode="External"/><Relationship Id="rId41" Type="http://schemas.openxmlformats.org/officeDocument/2006/relationships/hyperlink" Target="https://genshin.aspirine.su/" TargetMode="External"/><Relationship Id="rId44" Type="http://schemas.openxmlformats.org/officeDocument/2006/relationships/hyperlink" Target="https://genshin.aspirine.su/" TargetMode="External"/><Relationship Id="rId194" Type="http://schemas.openxmlformats.org/officeDocument/2006/relationships/hyperlink" Target="https://genshin.aspirine.su/" TargetMode="External"/><Relationship Id="rId43" Type="http://schemas.openxmlformats.org/officeDocument/2006/relationships/hyperlink" Target="https://youtu.be/P2kPshCX6ow" TargetMode="External"/><Relationship Id="rId193" Type="http://schemas.openxmlformats.org/officeDocument/2006/relationships/hyperlink" Target="https://genshin.aspirine.su/" TargetMode="External"/><Relationship Id="rId46" Type="http://schemas.openxmlformats.org/officeDocument/2006/relationships/hyperlink" Target="https://docs.google.com/spreadsheets/d/1tQEtcyNSCUvAUCHkOa9tjnCyLDEPwCmCPRK8Xtn78FM/edit?gid=1706134817" TargetMode="External"/><Relationship Id="rId192" Type="http://schemas.openxmlformats.org/officeDocument/2006/relationships/hyperlink" Target="https://genshin.aspirine.su/" TargetMode="External"/><Relationship Id="rId45" Type="http://schemas.openxmlformats.org/officeDocument/2006/relationships/hyperlink" Target="https://genshin.aspirine.su/" TargetMode="External"/><Relationship Id="rId191" Type="http://schemas.openxmlformats.org/officeDocument/2006/relationships/hyperlink" Target="https://genshin.aspirine.su/" TargetMode="External"/><Relationship Id="rId48" Type="http://schemas.openxmlformats.org/officeDocument/2006/relationships/hyperlink" Target="https://docs.google.com/spreadsheets/d/1tQEtcyNSCUvAUCHkOa9tjnCyLDEPwCmCPRK8Xtn78FM/edit?gid=1637372952" TargetMode="External"/><Relationship Id="rId187" Type="http://schemas.openxmlformats.org/officeDocument/2006/relationships/hyperlink" Target="https://genshin.aspirine.su/" TargetMode="External"/><Relationship Id="rId47" Type="http://schemas.openxmlformats.org/officeDocument/2006/relationships/hyperlink" Target="https://genshin.aspirine.su/" TargetMode="External"/><Relationship Id="rId186" Type="http://schemas.openxmlformats.org/officeDocument/2006/relationships/hyperlink" Target="https://genshin.aspirine.su/" TargetMode="External"/><Relationship Id="rId185" Type="http://schemas.openxmlformats.org/officeDocument/2006/relationships/hyperlink" Target="https://youtu.be/36_1z9mRe7s" TargetMode="External"/><Relationship Id="rId49" Type="http://schemas.openxmlformats.org/officeDocument/2006/relationships/hyperlink" Target="https://genshin.aspirine.su/" TargetMode="External"/><Relationship Id="rId184" Type="http://schemas.openxmlformats.org/officeDocument/2006/relationships/hyperlink" Target="https://genshin.aspirine.su/" TargetMode="External"/><Relationship Id="rId189" Type="http://schemas.openxmlformats.org/officeDocument/2006/relationships/hyperlink" Target="https://genshin.aspirine.su/" TargetMode="External"/><Relationship Id="rId188" Type="http://schemas.openxmlformats.org/officeDocument/2006/relationships/hyperlink" Target="https://youtu.be/Y59l8Slw5Zo" TargetMode="External"/><Relationship Id="rId31" Type="http://schemas.openxmlformats.org/officeDocument/2006/relationships/hyperlink" Target="https://genshin.aspirine.su/" TargetMode="External"/><Relationship Id="rId30" Type="http://schemas.openxmlformats.org/officeDocument/2006/relationships/hyperlink" Target="https://genshin.aspirine.su/" TargetMode="External"/><Relationship Id="rId33" Type="http://schemas.openxmlformats.org/officeDocument/2006/relationships/hyperlink" Target="https://genshin.aspirine.su/" TargetMode="External"/><Relationship Id="rId183" Type="http://schemas.openxmlformats.org/officeDocument/2006/relationships/hyperlink" Target="https://genshin.aspirine.su/" TargetMode="External"/><Relationship Id="rId32" Type="http://schemas.openxmlformats.org/officeDocument/2006/relationships/hyperlink" Target="https://genshin.aspirine.su/" TargetMode="External"/><Relationship Id="rId182" Type="http://schemas.openxmlformats.org/officeDocument/2006/relationships/hyperlink" Target="https://genshin.aspirine.su/" TargetMode="External"/><Relationship Id="rId35" Type="http://schemas.openxmlformats.org/officeDocument/2006/relationships/hyperlink" Target="https://genshin.aspirine.su/" TargetMode="External"/><Relationship Id="rId181" Type="http://schemas.openxmlformats.org/officeDocument/2006/relationships/hyperlink" Target="https://genshin.aspirine.su/" TargetMode="External"/><Relationship Id="rId34" Type="http://schemas.openxmlformats.org/officeDocument/2006/relationships/hyperlink" Target="https://youtu.be/CdvIXi3zrSg" TargetMode="External"/><Relationship Id="rId180" Type="http://schemas.openxmlformats.org/officeDocument/2006/relationships/hyperlink" Target="https://genshin.aspirine.su/" TargetMode="External"/><Relationship Id="rId37" Type="http://schemas.openxmlformats.org/officeDocument/2006/relationships/hyperlink" Target="https://genshin.aspirine.su/" TargetMode="External"/><Relationship Id="rId176" Type="http://schemas.openxmlformats.org/officeDocument/2006/relationships/hyperlink" Target="https://youtu.be/tbNceKcc4hk" TargetMode="External"/><Relationship Id="rId297" Type="http://schemas.openxmlformats.org/officeDocument/2006/relationships/hyperlink" Target="https://genshin.aspirine.su/" TargetMode="External"/><Relationship Id="rId36" Type="http://schemas.openxmlformats.org/officeDocument/2006/relationships/hyperlink" Target="https://genshin.aspirine.su/" TargetMode="External"/><Relationship Id="rId175" Type="http://schemas.openxmlformats.org/officeDocument/2006/relationships/hyperlink" Target="https://genshin.aspirine.su/" TargetMode="External"/><Relationship Id="rId296" Type="http://schemas.openxmlformats.org/officeDocument/2006/relationships/hyperlink" Target="https://genshin.aspirine.su/" TargetMode="External"/><Relationship Id="rId39" Type="http://schemas.openxmlformats.org/officeDocument/2006/relationships/hyperlink" Target="https://genshin.aspirine.su/" TargetMode="External"/><Relationship Id="rId174" Type="http://schemas.openxmlformats.org/officeDocument/2006/relationships/hyperlink" Target="https://genshin.aspirine.su/" TargetMode="External"/><Relationship Id="rId295" Type="http://schemas.openxmlformats.org/officeDocument/2006/relationships/hyperlink" Target="https://genshin.aspirine.su/" TargetMode="External"/><Relationship Id="rId38" Type="http://schemas.openxmlformats.org/officeDocument/2006/relationships/hyperlink" Target="https://genshin.aspirine.su/" TargetMode="External"/><Relationship Id="rId173" Type="http://schemas.openxmlformats.org/officeDocument/2006/relationships/hyperlink" Target="https://youtu.be/kohWGhbNVq8" TargetMode="External"/><Relationship Id="rId294" Type="http://schemas.openxmlformats.org/officeDocument/2006/relationships/hyperlink" Target="https://youtu.be/JlB-jvrz_8I" TargetMode="External"/><Relationship Id="rId179" Type="http://schemas.openxmlformats.org/officeDocument/2006/relationships/hyperlink" Target="https://genshin.aspirine.su/" TargetMode="External"/><Relationship Id="rId178" Type="http://schemas.openxmlformats.org/officeDocument/2006/relationships/hyperlink" Target="https://genshin.aspirine.su/" TargetMode="External"/><Relationship Id="rId299" Type="http://schemas.openxmlformats.org/officeDocument/2006/relationships/vmlDrawing" Target="../drawings/vmlDrawing2.vml"/><Relationship Id="rId177" Type="http://schemas.openxmlformats.org/officeDocument/2006/relationships/hyperlink" Target="https://genshin.aspirine.su/" TargetMode="External"/><Relationship Id="rId298" Type="http://schemas.openxmlformats.org/officeDocument/2006/relationships/drawing" Target="../drawings/drawing2.xml"/><Relationship Id="rId20" Type="http://schemas.openxmlformats.org/officeDocument/2006/relationships/hyperlink" Target="https://genshin.aspirine.su/" TargetMode="External"/><Relationship Id="rId22" Type="http://schemas.openxmlformats.org/officeDocument/2006/relationships/hyperlink" Target="https://youtu.be/xCYkFrZEPLk" TargetMode="External"/><Relationship Id="rId21" Type="http://schemas.openxmlformats.org/officeDocument/2006/relationships/hyperlink" Target="https://genshin.aspirine.su/" TargetMode="External"/><Relationship Id="rId24" Type="http://schemas.openxmlformats.org/officeDocument/2006/relationships/hyperlink" Target="https://genshin.aspirine.su/" TargetMode="External"/><Relationship Id="rId23" Type="http://schemas.openxmlformats.org/officeDocument/2006/relationships/hyperlink" Target="https://genshin.aspirine.su/" TargetMode="External"/><Relationship Id="rId26" Type="http://schemas.openxmlformats.org/officeDocument/2006/relationships/hyperlink" Target="https://genshin.aspirine.su/" TargetMode="External"/><Relationship Id="rId25" Type="http://schemas.openxmlformats.org/officeDocument/2006/relationships/hyperlink" Target="https://genshin.aspirine.su/" TargetMode="External"/><Relationship Id="rId28" Type="http://schemas.openxmlformats.org/officeDocument/2006/relationships/hyperlink" Target="https://genshin.aspirine.su/" TargetMode="External"/><Relationship Id="rId27" Type="http://schemas.openxmlformats.org/officeDocument/2006/relationships/hyperlink" Target="https://genshin.aspirine.su/" TargetMode="External"/><Relationship Id="rId29" Type="http://schemas.openxmlformats.org/officeDocument/2006/relationships/hyperlink" Target="https://genshin.aspirine.su/" TargetMode="External"/><Relationship Id="rId11" Type="http://schemas.openxmlformats.org/officeDocument/2006/relationships/hyperlink" Target="https://genshin.aspirine.su/" TargetMode="External"/><Relationship Id="rId10" Type="http://schemas.openxmlformats.org/officeDocument/2006/relationships/hyperlink" Target="https://youtu.be/lk8zLGCRC28" TargetMode="External"/><Relationship Id="rId13" Type="http://schemas.openxmlformats.org/officeDocument/2006/relationships/hyperlink" Target="https://genshin.aspirine.su/" TargetMode="External"/><Relationship Id="rId12" Type="http://schemas.openxmlformats.org/officeDocument/2006/relationships/hyperlink" Target="https://genshin.aspirine.su/" TargetMode="External"/><Relationship Id="rId15" Type="http://schemas.openxmlformats.org/officeDocument/2006/relationships/hyperlink" Target="https://youtu.be/WN8VL29Rx1E" TargetMode="External"/><Relationship Id="rId198" Type="http://schemas.openxmlformats.org/officeDocument/2006/relationships/hyperlink" Target="https://youtu.be/_f6Pf70_gDs" TargetMode="External"/><Relationship Id="rId14" Type="http://schemas.openxmlformats.org/officeDocument/2006/relationships/hyperlink" Target="https://genshin.aspirine.su/" TargetMode="External"/><Relationship Id="rId197" Type="http://schemas.openxmlformats.org/officeDocument/2006/relationships/hyperlink" Target="https://genshin.aspirine.su/" TargetMode="External"/><Relationship Id="rId17" Type="http://schemas.openxmlformats.org/officeDocument/2006/relationships/hyperlink" Target="https://genshin.aspirine.su/" TargetMode="External"/><Relationship Id="rId196" Type="http://schemas.openxmlformats.org/officeDocument/2006/relationships/hyperlink" Target="https://genshin.aspirine.su/" TargetMode="External"/><Relationship Id="rId16" Type="http://schemas.openxmlformats.org/officeDocument/2006/relationships/hyperlink" Target="https://genshin.aspirine.su/" TargetMode="External"/><Relationship Id="rId195" Type="http://schemas.openxmlformats.org/officeDocument/2006/relationships/hyperlink" Target="https://youtu.be/mEPBcGmYP74" TargetMode="External"/><Relationship Id="rId19" Type="http://schemas.openxmlformats.org/officeDocument/2006/relationships/hyperlink" Target="https://genshin.aspirine.su/" TargetMode="External"/><Relationship Id="rId18" Type="http://schemas.openxmlformats.org/officeDocument/2006/relationships/hyperlink" Target="https://genshin.aspirine.su/" TargetMode="External"/><Relationship Id="rId199" Type="http://schemas.openxmlformats.org/officeDocument/2006/relationships/hyperlink" Target="https://genshin.aspirine.su/" TargetMode="External"/><Relationship Id="rId84" Type="http://schemas.openxmlformats.org/officeDocument/2006/relationships/hyperlink" Target="https://genshin.aspirine.su/" TargetMode="External"/><Relationship Id="rId83" Type="http://schemas.openxmlformats.org/officeDocument/2006/relationships/hyperlink" Target="https://genshin.aspirine.su/" TargetMode="External"/><Relationship Id="rId86" Type="http://schemas.openxmlformats.org/officeDocument/2006/relationships/hyperlink" Target="https://genshin.aspirine.su/" TargetMode="External"/><Relationship Id="rId85" Type="http://schemas.openxmlformats.org/officeDocument/2006/relationships/hyperlink" Target="https://youtu.be/mkh9RF35ZM8" TargetMode="External"/><Relationship Id="rId88" Type="http://schemas.openxmlformats.org/officeDocument/2006/relationships/hyperlink" Target="https://genshin.aspirine.su/" TargetMode="External"/><Relationship Id="rId150" Type="http://schemas.openxmlformats.org/officeDocument/2006/relationships/hyperlink" Target="https://youtu.be/ylXC95eFwUA" TargetMode="External"/><Relationship Id="rId271" Type="http://schemas.openxmlformats.org/officeDocument/2006/relationships/hyperlink" Target="https://genshin.aspirine.su/" TargetMode="External"/><Relationship Id="rId87" Type="http://schemas.openxmlformats.org/officeDocument/2006/relationships/hyperlink" Target="https://genshin.aspirine.su/" TargetMode="External"/><Relationship Id="rId270" Type="http://schemas.openxmlformats.org/officeDocument/2006/relationships/hyperlink" Target="https://genshin.aspirine.su/" TargetMode="External"/><Relationship Id="rId89" Type="http://schemas.openxmlformats.org/officeDocument/2006/relationships/hyperlink" Target="https://genshin.aspirine.su/" TargetMode="External"/><Relationship Id="rId80" Type="http://schemas.openxmlformats.org/officeDocument/2006/relationships/hyperlink" Target="https://genshin.aspirine.su/" TargetMode="External"/><Relationship Id="rId82" Type="http://schemas.openxmlformats.org/officeDocument/2006/relationships/hyperlink" Target="https://genshin.aspirine.su/" TargetMode="External"/><Relationship Id="rId81" Type="http://schemas.openxmlformats.org/officeDocument/2006/relationships/hyperlink" Target="https://genshin.aspirine.su/" TargetMode="External"/><Relationship Id="rId1" Type="http://schemas.openxmlformats.org/officeDocument/2006/relationships/comments" Target="../comments2.xml"/><Relationship Id="rId2" Type="http://schemas.openxmlformats.org/officeDocument/2006/relationships/hyperlink" Target="https://youtu.be/4lAuARoBvR4" TargetMode="External"/><Relationship Id="rId3" Type="http://schemas.openxmlformats.org/officeDocument/2006/relationships/hyperlink" Target="https://docs.google.com/spreadsheets/d/1tQEtcyNSCUvAUCHkOa9tjnCyLDEPwCmCPRK8Xtn78FM/edit?gid=1327622048" TargetMode="External"/><Relationship Id="rId149" Type="http://schemas.openxmlformats.org/officeDocument/2006/relationships/hyperlink" Target="https://genshin.aspirine.su/" TargetMode="External"/><Relationship Id="rId4" Type="http://schemas.openxmlformats.org/officeDocument/2006/relationships/hyperlink" Target="https://genshin.aspirine.su/" TargetMode="External"/><Relationship Id="rId148" Type="http://schemas.openxmlformats.org/officeDocument/2006/relationships/hyperlink" Target="https://genshin.aspirine.su/" TargetMode="External"/><Relationship Id="rId269" Type="http://schemas.openxmlformats.org/officeDocument/2006/relationships/hyperlink" Target="https://genshin.aspirine.su/" TargetMode="External"/><Relationship Id="rId9" Type="http://schemas.openxmlformats.org/officeDocument/2006/relationships/hyperlink" Target="https://genshin.aspirine.su/" TargetMode="External"/><Relationship Id="rId143" Type="http://schemas.openxmlformats.org/officeDocument/2006/relationships/hyperlink" Target="https://youtu.be/sjW9XWF0pI0" TargetMode="External"/><Relationship Id="rId264" Type="http://schemas.openxmlformats.org/officeDocument/2006/relationships/hyperlink" Target="https://youtu.be/Ujj5ME03aoE" TargetMode="External"/><Relationship Id="rId142" Type="http://schemas.openxmlformats.org/officeDocument/2006/relationships/hyperlink" Target="https://genshin.aspirine.su/" TargetMode="External"/><Relationship Id="rId263" Type="http://schemas.openxmlformats.org/officeDocument/2006/relationships/hyperlink" Target="https://genshin.aspirine.su/" TargetMode="External"/><Relationship Id="rId141" Type="http://schemas.openxmlformats.org/officeDocument/2006/relationships/hyperlink" Target="https://genshin.aspirine.su/" TargetMode="External"/><Relationship Id="rId262" Type="http://schemas.openxmlformats.org/officeDocument/2006/relationships/hyperlink" Target="https://genshin.aspirine.su/" TargetMode="External"/><Relationship Id="rId140" Type="http://schemas.openxmlformats.org/officeDocument/2006/relationships/hyperlink" Target="https://genshin.aspirine.su/" TargetMode="External"/><Relationship Id="rId261" Type="http://schemas.openxmlformats.org/officeDocument/2006/relationships/hyperlink" Target="https://youtu.be/A-xoe6Z7IGk" TargetMode="External"/><Relationship Id="rId5" Type="http://schemas.openxmlformats.org/officeDocument/2006/relationships/hyperlink" Target="https://genshin.aspirine.su/" TargetMode="External"/><Relationship Id="rId147" Type="http://schemas.openxmlformats.org/officeDocument/2006/relationships/hyperlink" Target="https://youtu.be/-cVpsdqMDpg" TargetMode="External"/><Relationship Id="rId268" Type="http://schemas.openxmlformats.org/officeDocument/2006/relationships/hyperlink" Target="https://genshin.aspirine.su/" TargetMode="External"/><Relationship Id="rId6" Type="http://schemas.openxmlformats.org/officeDocument/2006/relationships/hyperlink" Target="https://genshin.aspirine.su/" TargetMode="External"/><Relationship Id="rId146" Type="http://schemas.openxmlformats.org/officeDocument/2006/relationships/hyperlink" Target="https://genshin.aspirine.su/" TargetMode="External"/><Relationship Id="rId267" Type="http://schemas.openxmlformats.org/officeDocument/2006/relationships/hyperlink" Target="https://genshin.aspirine.su/" TargetMode="External"/><Relationship Id="rId7" Type="http://schemas.openxmlformats.org/officeDocument/2006/relationships/hyperlink" Target="https://genshin.aspirine.su/" TargetMode="External"/><Relationship Id="rId145" Type="http://schemas.openxmlformats.org/officeDocument/2006/relationships/hyperlink" Target="https://genshin.aspirine.su/" TargetMode="External"/><Relationship Id="rId266" Type="http://schemas.openxmlformats.org/officeDocument/2006/relationships/hyperlink" Target="https://genshin.aspirine.su/" TargetMode="External"/><Relationship Id="rId8" Type="http://schemas.openxmlformats.org/officeDocument/2006/relationships/hyperlink" Target="https://genshin.aspirine.su/" TargetMode="External"/><Relationship Id="rId144" Type="http://schemas.openxmlformats.org/officeDocument/2006/relationships/hyperlink" Target="https://docs.google.com/spreadsheets/d/1tQEtcyNSCUvAUCHkOa9tjnCyLDEPwCmCPRK8Xtn78FM/edit?gid=743542896" TargetMode="External"/><Relationship Id="rId265" Type="http://schemas.openxmlformats.org/officeDocument/2006/relationships/hyperlink" Target="https://genshin.aspirine.su/" TargetMode="External"/><Relationship Id="rId73" Type="http://schemas.openxmlformats.org/officeDocument/2006/relationships/hyperlink" Target="https://genshin.aspirine.su/" TargetMode="External"/><Relationship Id="rId72" Type="http://schemas.openxmlformats.org/officeDocument/2006/relationships/hyperlink" Target="https://genshin.aspirine.su/" TargetMode="External"/><Relationship Id="rId75" Type="http://schemas.openxmlformats.org/officeDocument/2006/relationships/hyperlink" Target="https://genshin.aspirine.su/" TargetMode="External"/><Relationship Id="rId74" Type="http://schemas.openxmlformats.org/officeDocument/2006/relationships/hyperlink" Target="https://genshin.aspirine.su/" TargetMode="External"/><Relationship Id="rId77" Type="http://schemas.openxmlformats.org/officeDocument/2006/relationships/hyperlink" Target="https://docs.google.com/spreadsheets/d/1tQEtcyNSCUvAUCHkOa9tjnCyLDEPwCmCPRK8Xtn78FM/edit?gid=2009091628" TargetMode="External"/><Relationship Id="rId260" Type="http://schemas.openxmlformats.org/officeDocument/2006/relationships/hyperlink" Target="https://genshin.aspirine.su/" TargetMode="External"/><Relationship Id="rId76" Type="http://schemas.openxmlformats.org/officeDocument/2006/relationships/hyperlink" Target="https://youtu.be/NUG-zl2pSF0" TargetMode="External"/><Relationship Id="rId79" Type="http://schemas.openxmlformats.org/officeDocument/2006/relationships/hyperlink" Target="https://genshin.aspirine.su/" TargetMode="External"/><Relationship Id="rId78" Type="http://schemas.openxmlformats.org/officeDocument/2006/relationships/hyperlink" Target="https://genshin.aspirine.su/" TargetMode="External"/><Relationship Id="rId71" Type="http://schemas.openxmlformats.org/officeDocument/2006/relationships/hyperlink" Target="https://youtu.be/yJnZ_VP7ZNE" TargetMode="External"/><Relationship Id="rId70" Type="http://schemas.openxmlformats.org/officeDocument/2006/relationships/hyperlink" Target="https://genshin.aspirine.su/" TargetMode="External"/><Relationship Id="rId139" Type="http://schemas.openxmlformats.org/officeDocument/2006/relationships/hyperlink" Target="https://youtu.be/vUwDqnUduFo" TargetMode="External"/><Relationship Id="rId138" Type="http://schemas.openxmlformats.org/officeDocument/2006/relationships/hyperlink" Target="https://docs.google.com/spreadsheets/d/1tQEtcyNSCUvAUCHkOa9tjnCyLDEPwCmCPRK8Xtn78FM/edit?gid=1871247285" TargetMode="External"/><Relationship Id="rId259" Type="http://schemas.openxmlformats.org/officeDocument/2006/relationships/hyperlink" Target="https://genshin.aspirine.su/" TargetMode="External"/><Relationship Id="rId137" Type="http://schemas.openxmlformats.org/officeDocument/2006/relationships/hyperlink" Target="https://youtu.be/uwn3raL7guk" TargetMode="External"/><Relationship Id="rId258" Type="http://schemas.openxmlformats.org/officeDocument/2006/relationships/hyperlink" Target="https://youtu.be/H3uIUDqfKAk" TargetMode="External"/><Relationship Id="rId132" Type="http://schemas.openxmlformats.org/officeDocument/2006/relationships/hyperlink" Target="https://genshin.aspirine.su/" TargetMode="External"/><Relationship Id="rId253" Type="http://schemas.openxmlformats.org/officeDocument/2006/relationships/hyperlink" Target="https://genshin.aspirine.su/" TargetMode="External"/><Relationship Id="rId131" Type="http://schemas.openxmlformats.org/officeDocument/2006/relationships/hyperlink" Target="https://genshin.aspirine.su/" TargetMode="External"/><Relationship Id="rId252" Type="http://schemas.openxmlformats.org/officeDocument/2006/relationships/hyperlink" Target="https://genshin.aspirine.su/" TargetMode="External"/><Relationship Id="rId130" Type="http://schemas.openxmlformats.org/officeDocument/2006/relationships/hyperlink" Target="https://genshin.aspirine.su/" TargetMode="External"/><Relationship Id="rId251" Type="http://schemas.openxmlformats.org/officeDocument/2006/relationships/hyperlink" Target="https://genshin.aspirine.su/" TargetMode="External"/><Relationship Id="rId250" Type="http://schemas.openxmlformats.org/officeDocument/2006/relationships/hyperlink" Target="https://youtu.be/efn_jz6CywY" TargetMode="External"/><Relationship Id="rId136" Type="http://schemas.openxmlformats.org/officeDocument/2006/relationships/hyperlink" Target="https://genshin.aspirine.su/" TargetMode="External"/><Relationship Id="rId257" Type="http://schemas.openxmlformats.org/officeDocument/2006/relationships/hyperlink" Target="https://genshin.aspirine.su/" TargetMode="External"/><Relationship Id="rId135" Type="http://schemas.openxmlformats.org/officeDocument/2006/relationships/hyperlink" Target="https://genshin.aspirine.su/" TargetMode="External"/><Relationship Id="rId256" Type="http://schemas.openxmlformats.org/officeDocument/2006/relationships/hyperlink" Target="https://genshin.aspirine.su/" TargetMode="External"/><Relationship Id="rId134" Type="http://schemas.openxmlformats.org/officeDocument/2006/relationships/hyperlink" Target="https://genshin.aspirine.su/" TargetMode="External"/><Relationship Id="rId255" Type="http://schemas.openxmlformats.org/officeDocument/2006/relationships/hyperlink" Target="https://genshin.aspirine.su/" TargetMode="External"/><Relationship Id="rId133" Type="http://schemas.openxmlformats.org/officeDocument/2006/relationships/hyperlink" Target="https://genshin.aspirine.su/" TargetMode="External"/><Relationship Id="rId254" Type="http://schemas.openxmlformats.org/officeDocument/2006/relationships/hyperlink" Target="https://genshin.aspirine.su/" TargetMode="External"/><Relationship Id="rId62" Type="http://schemas.openxmlformats.org/officeDocument/2006/relationships/hyperlink" Target="https://genshin.aspirine.su/" TargetMode="External"/><Relationship Id="rId61" Type="http://schemas.openxmlformats.org/officeDocument/2006/relationships/hyperlink" Target="https://genshin.aspirine.su/" TargetMode="External"/><Relationship Id="rId64" Type="http://schemas.openxmlformats.org/officeDocument/2006/relationships/hyperlink" Target="https://genshin.aspirine.su/" TargetMode="External"/><Relationship Id="rId63" Type="http://schemas.openxmlformats.org/officeDocument/2006/relationships/hyperlink" Target="https://genshin.aspirine.su/" TargetMode="External"/><Relationship Id="rId66" Type="http://schemas.openxmlformats.org/officeDocument/2006/relationships/hyperlink" Target="https://youtu.be/YWQCVzmTvHo" TargetMode="External"/><Relationship Id="rId172" Type="http://schemas.openxmlformats.org/officeDocument/2006/relationships/hyperlink" Target="https://genshin.aspirine.su/" TargetMode="External"/><Relationship Id="rId293" Type="http://schemas.openxmlformats.org/officeDocument/2006/relationships/hyperlink" Target="https://docs.google.com/spreadsheets/d/1tQEtcyNSCUvAUCHkOa9tjnCyLDEPwCmCPRK8Xtn78FM/edit?gid=906865443" TargetMode="External"/><Relationship Id="rId65" Type="http://schemas.openxmlformats.org/officeDocument/2006/relationships/hyperlink" Target="https://genshin.aspirine.su/" TargetMode="External"/><Relationship Id="rId171" Type="http://schemas.openxmlformats.org/officeDocument/2006/relationships/hyperlink" Target="https://genshin.aspirine.su/" TargetMode="External"/><Relationship Id="rId292" Type="http://schemas.openxmlformats.org/officeDocument/2006/relationships/hyperlink" Target="https://youtu.be/NHBCInfibaU" TargetMode="External"/><Relationship Id="rId68" Type="http://schemas.openxmlformats.org/officeDocument/2006/relationships/hyperlink" Target="https://genshin.aspirine.su/" TargetMode="External"/><Relationship Id="rId170" Type="http://schemas.openxmlformats.org/officeDocument/2006/relationships/hyperlink" Target="https://genshin.aspirine.su/" TargetMode="External"/><Relationship Id="rId291" Type="http://schemas.openxmlformats.org/officeDocument/2006/relationships/hyperlink" Target="https://genshin.aspirine.su/" TargetMode="External"/><Relationship Id="rId67" Type="http://schemas.openxmlformats.org/officeDocument/2006/relationships/hyperlink" Target="https://genshin.aspirine.su/" TargetMode="External"/><Relationship Id="rId290" Type="http://schemas.openxmlformats.org/officeDocument/2006/relationships/hyperlink" Target="https://genshin.aspirine.su/" TargetMode="External"/><Relationship Id="rId60" Type="http://schemas.openxmlformats.org/officeDocument/2006/relationships/hyperlink" Target="https://genshin.aspirine.su/" TargetMode="External"/><Relationship Id="rId165" Type="http://schemas.openxmlformats.org/officeDocument/2006/relationships/hyperlink" Target="https://genshin.aspirine.su/" TargetMode="External"/><Relationship Id="rId286" Type="http://schemas.openxmlformats.org/officeDocument/2006/relationships/hyperlink" Target="https://genshin.aspirine.su/" TargetMode="External"/><Relationship Id="rId69" Type="http://schemas.openxmlformats.org/officeDocument/2006/relationships/hyperlink" Target="https://genshin.aspirine.su/" TargetMode="External"/><Relationship Id="rId164" Type="http://schemas.openxmlformats.org/officeDocument/2006/relationships/hyperlink" Target="https://genshin.aspirine.su/" TargetMode="External"/><Relationship Id="rId285" Type="http://schemas.openxmlformats.org/officeDocument/2006/relationships/hyperlink" Target="https://genshin.aspirine.su/" TargetMode="External"/><Relationship Id="rId163" Type="http://schemas.openxmlformats.org/officeDocument/2006/relationships/hyperlink" Target="https://youtu.be/NTo8Um884GY" TargetMode="External"/><Relationship Id="rId284" Type="http://schemas.openxmlformats.org/officeDocument/2006/relationships/hyperlink" Target="https://genshin.aspirine.su/" TargetMode="External"/><Relationship Id="rId162" Type="http://schemas.openxmlformats.org/officeDocument/2006/relationships/hyperlink" Target="https://genshin.aspirine.su/" TargetMode="External"/><Relationship Id="rId283" Type="http://schemas.openxmlformats.org/officeDocument/2006/relationships/hyperlink" Target="https://genshin.aspirine.su/" TargetMode="External"/><Relationship Id="rId169" Type="http://schemas.openxmlformats.org/officeDocument/2006/relationships/hyperlink" Target="https://genshin.aspirine.su/" TargetMode="External"/><Relationship Id="rId168" Type="http://schemas.openxmlformats.org/officeDocument/2006/relationships/hyperlink" Target="https://youtu.be/GCa7ilmUP68" TargetMode="External"/><Relationship Id="rId289" Type="http://schemas.openxmlformats.org/officeDocument/2006/relationships/hyperlink" Target="https://genshin.aspirine.su/" TargetMode="External"/><Relationship Id="rId167" Type="http://schemas.openxmlformats.org/officeDocument/2006/relationships/hyperlink" Target="https://genshin.aspirine.su/" TargetMode="External"/><Relationship Id="rId288" Type="http://schemas.openxmlformats.org/officeDocument/2006/relationships/hyperlink" Target="https://genshin.aspirine.su/" TargetMode="External"/><Relationship Id="rId166" Type="http://schemas.openxmlformats.org/officeDocument/2006/relationships/hyperlink" Target="https://genshin.aspirine.su/" TargetMode="External"/><Relationship Id="rId287" Type="http://schemas.openxmlformats.org/officeDocument/2006/relationships/hyperlink" Target="https://youtu.be/JV-wigrvEPA" TargetMode="External"/><Relationship Id="rId51" Type="http://schemas.openxmlformats.org/officeDocument/2006/relationships/hyperlink" Target="https://genshin.aspirine.su/" TargetMode="External"/><Relationship Id="rId50" Type="http://schemas.openxmlformats.org/officeDocument/2006/relationships/hyperlink" Target="https://genshin.aspirine.su/" TargetMode="External"/><Relationship Id="rId53" Type="http://schemas.openxmlformats.org/officeDocument/2006/relationships/hyperlink" Target="https://genshin.aspirine.su/" TargetMode="External"/><Relationship Id="rId52" Type="http://schemas.openxmlformats.org/officeDocument/2006/relationships/hyperlink" Target="https://genshin.aspirine.su/" TargetMode="External"/><Relationship Id="rId55" Type="http://schemas.openxmlformats.org/officeDocument/2006/relationships/hyperlink" Target="https://genshin.aspirine.su/" TargetMode="External"/><Relationship Id="rId161" Type="http://schemas.openxmlformats.org/officeDocument/2006/relationships/hyperlink" Target="https://genshin.aspirine.su/" TargetMode="External"/><Relationship Id="rId282" Type="http://schemas.openxmlformats.org/officeDocument/2006/relationships/hyperlink" Target="https://docs.google.com/spreadsheets/d/1tQEtcyNSCUvAUCHkOa9tjnCyLDEPwCmCPRK8Xtn78FM/edit?gid=103343321" TargetMode="External"/><Relationship Id="rId54" Type="http://schemas.openxmlformats.org/officeDocument/2006/relationships/hyperlink" Target="https://genshin.aspirine.su/" TargetMode="External"/><Relationship Id="rId160" Type="http://schemas.openxmlformats.org/officeDocument/2006/relationships/hyperlink" Target="https://genshin.aspirine.su/" TargetMode="External"/><Relationship Id="rId281" Type="http://schemas.openxmlformats.org/officeDocument/2006/relationships/hyperlink" Target="https://genshin.aspirine.su/" TargetMode="External"/><Relationship Id="rId57" Type="http://schemas.openxmlformats.org/officeDocument/2006/relationships/hyperlink" Target="https://genshin.aspirine.su/" TargetMode="External"/><Relationship Id="rId280" Type="http://schemas.openxmlformats.org/officeDocument/2006/relationships/hyperlink" Target="https://genshin.aspirine.su/" TargetMode="External"/><Relationship Id="rId56" Type="http://schemas.openxmlformats.org/officeDocument/2006/relationships/hyperlink" Target="https://genshin.aspirine.su/" TargetMode="External"/><Relationship Id="rId159" Type="http://schemas.openxmlformats.org/officeDocument/2006/relationships/hyperlink" Target="https://genshin.aspirine.su/" TargetMode="External"/><Relationship Id="rId59" Type="http://schemas.openxmlformats.org/officeDocument/2006/relationships/hyperlink" Target="https://genshin.aspirine.su/" TargetMode="External"/><Relationship Id="rId154" Type="http://schemas.openxmlformats.org/officeDocument/2006/relationships/hyperlink" Target="https://genshin.aspirine.su/" TargetMode="External"/><Relationship Id="rId275" Type="http://schemas.openxmlformats.org/officeDocument/2006/relationships/hyperlink" Target="https://genshin.aspirine.su/" TargetMode="External"/><Relationship Id="rId58" Type="http://schemas.openxmlformats.org/officeDocument/2006/relationships/hyperlink" Target="https://youtu.be/-pDGthXJP0U" TargetMode="External"/><Relationship Id="rId153" Type="http://schemas.openxmlformats.org/officeDocument/2006/relationships/hyperlink" Target="https://genshin.aspirine.su/" TargetMode="External"/><Relationship Id="rId274" Type="http://schemas.openxmlformats.org/officeDocument/2006/relationships/hyperlink" Target="https://genshin.aspirine.su/" TargetMode="External"/><Relationship Id="rId152" Type="http://schemas.openxmlformats.org/officeDocument/2006/relationships/hyperlink" Target="https://genshin.aspirine.su/" TargetMode="External"/><Relationship Id="rId273" Type="http://schemas.openxmlformats.org/officeDocument/2006/relationships/hyperlink" Target="https://youtu.be/7Erkjbjeiok" TargetMode="External"/><Relationship Id="rId151" Type="http://schemas.openxmlformats.org/officeDocument/2006/relationships/hyperlink" Target="https://genshin.aspirine.su/" TargetMode="External"/><Relationship Id="rId272" Type="http://schemas.openxmlformats.org/officeDocument/2006/relationships/hyperlink" Target="https://genshin.aspirine.su/" TargetMode="External"/><Relationship Id="rId158" Type="http://schemas.openxmlformats.org/officeDocument/2006/relationships/hyperlink" Target="https://genshin.aspirine.su/" TargetMode="External"/><Relationship Id="rId279" Type="http://schemas.openxmlformats.org/officeDocument/2006/relationships/hyperlink" Target="https://genshin.aspirine.su/" TargetMode="External"/><Relationship Id="rId157" Type="http://schemas.openxmlformats.org/officeDocument/2006/relationships/hyperlink" Target="https://genshin.aspirine.su/" TargetMode="External"/><Relationship Id="rId278" Type="http://schemas.openxmlformats.org/officeDocument/2006/relationships/hyperlink" Target="https://genshin.aspirine.su/" TargetMode="External"/><Relationship Id="rId156" Type="http://schemas.openxmlformats.org/officeDocument/2006/relationships/hyperlink" Target="https://genshin.aspirine.su/" TargetMode="External"/><Relationship Id="rId277" Type="http://schemas.openxmlformats.org/officeDocument/2006/relationships/hyperlink" Target="https://genshin.aspirine.su/" TargetMode="External"/><Relationship Id="rId155" Type="http://schemas.openxmlformats.org/officeDocument/2006/relationships/hyperlink" Target="https://genshin.aspirine.su/" TargetMode="External"/><Relationship Id="rId276" Type="http://schemas.openxmlformats.org/officeDocument/2006/relationships/hyperlink" Target="https://youtu.be/OKdX5b4312E" TargetMode="External"/><Relationship Id="rId107" Type="http://schemas.openxmlformats.org/officeDocument/2006/relationships/hyperlink" Target="https://genshin.aspirine.su/" TargetMode="External"/><Relationship Id="rId228" Type="http://schemas.openxmlformats.org/officeDocument/2006/relationships/hyperlink" Target="https://genshin.aspirine.su/" TargetMode="External"/><Relationship Id="rId106" Type="http://schemas.openxmlformats.org/officeDocument/2006/relationships/hyperlink" Target="https://genshin.aspirine.su/" TargetMode="External"/><Relationship Id="rId227" Type="http://schemas.openxmlformats.org/officeDocument/2006/relationships/hyperlink" Target="https://genshin.aspirine.su/" TargetMode="External"/><Relationship Id="rId105" Type="http://schemas.openxmlformats.org/officeDocument/2006/relationships/hyperlink" Target="https://youtu.be/JKtMPWqHqkI" TargetMode="External"/><Relationship Id="rId226" Type="http://schemas.openxmlformats.org/officeDocument/2006/relationships/hyperlink" Target="https://genshin.aspirine.su/" TargetMode="External"/><Relationship Id="rId104" Type="http://schemas.openxmlformats.org/officeDocument/2006/relationships/hyperlink" Target="https://genshin.aspirine.su/" TargetMode="External"/><Relationship Id="rId225" Type="http://schemas.openxmlformats.org/officeDocument/2006/relationships/hyperlink" Target="https://youtu.be/2NTbGlZ5S2o" TargetMode="External"/><Relationship Id="rId109" Type="http://schemas.openxmlformats.org/officeDocument/2006/relationships/hyperlink" Target="https://youtu.be/F-__GuSRbcE" TargetMode="External"/><Relationship Id="rId108" Type="http://schemas.openxmlformats.org/officeDocument/2006/relationships/hyperlink" Target="https://genshin.aspirine.su/" TargetMode="External"/><Relationship Id="rId229" Type="http://schemas.openxmlformats.org/officeDocument/2006/relationships/hyperlink" Target="https://genshin.aspirine.su/" TargetMode="External"/><Relationship Id="rId220" Type="http://schemas.openxmlformats.org/officeDocument/2006/relationships/hyperlink" Target="https://genshin.aspirine.su/" TargetMode="External"/><Relationship Id="rId103" Type="http://schemas.openxmlformats.org/officeDocument/2006/relationships/hyperlink" Target="https://genshin.aspirine.su/" TargetMode="External"/><Relationship Id="rId224" Type="http://schemas.openxmlformats.org/officeDocument/2006/relationships/hyperlink" Target="https://genshin.aspirine.su/" TargetMode="External"/><Relationship Id="rId102" Type="http://schemas.openxmlformats.org/officeDocument/2006/relationships/hyperlink" Target="https://genshin.aspirine.su/" TargetMode="External"/><Relationship Id="rId223" Type="http://schemas.openxmlformats.org/officeDocument/2006/relationships/hyperlink" Target="https://genshin.aspirine.su/" TargetMode="External"/><Relationship Id="rId101" Type="http://schemas.openxmlformats.org/officeDocument/2006/relationships/hyperlink" Target="https://genshin.aspirine.su/" TargetMode="External"/><Relationship Id="rId222" Type="http://schemas.openxmlformats.org/officeDocument/2006/relationships/hyperlink" Target="https://docs.google.com/spreadsheets/d/1tQEtcyNSCUvAUCHkOa9tjnCyLDEPwCmCPRK8Xtn78FM/edit?gid=81578061" TargetMode="External"/><Relationship Id="rId100" Type="http://schemas.openxmlformats.org/officeDocument/2006/relationships/hyperlink" Target="https://youtu.be/OyDcLiFGBAA" TargetMode="External"/><Relationship Id="rId221" Type="http://schemas.openxmlformats.org/officeDocument/2006/relationships/hyperlink" Target="https://genshin.aspirine.su/" TargetMode="External"/><Relationship Id="rId217" Type="http://schemas.openxmlformats.org/officeDocument/2006/relationships/hyperlink" Target="https://genshin.aspirine.su/" TargetMode="External"/><Relationship Id="rId216" Type="http://schemas.openxmlformats.org/officeDocument/2006/relationships/hyperlink" Target="https://genshin.aspirine.su/" TargetMode="External"/><Relationship Id="rId215" Type="http://schemas.openxmlformats.org/officeDocument/2006/relationships/hyperlink" Target="https://genshin.aspirine.su/" TargetMode="External"/><Relationship Id="rId214" Type="http://schemas.openxmlformats.org/officeDocument/2006/relationships/hyperlink" Target="https://genshin.aspirine.su/" TargetMode="External"/><Relationship Id="rId219" Type="http://schemas.openxmlformats.org/officeDocument/2006/relationships/hyperlink" Target="https://genshin.aspirine.su/" TargetMode="External"/><Relationship Id="rId218" Type="http://schemas.openxmlformats.org/officeDocument/2006/relationships/hyperlink" Target="https://youtu.be/RzU2TtSBt_o" TargetMode="External"/><Relationship Id="rId213" Type="http://schemas.openxmlformats.org/officeDocument/2006/relationships/hyperlink" Target="https://genshin.aspirine.su/" TargetMode="External"/><Relationship Id="rId212" Type="http://schemas.openxmlformats.org/officeDocument/2006/relationships/hyperlink" Target="https://genshin.aspirine.su/" TargetMode="External"/><Relationship Id="rId211" Type="http://schemas.openxmlformats.org/officeDocument/2006/relationships/hyperlink" Target="https://docs.google.com/spreadsheets/d/1tQEtcyNSCUvAUCHkOa9tjnCyLDEPwCmCPRK8Xtn78FM/edit?gid=1092992478" TargetMode="External"/><Relationship Id="rId210" Type="http://schemas.openxmlformats.org/officeDocument/2006/relationships/hyperlink" Target="https://docs.google.com/spreadsheets/d/1tQEtcyNSCUvAUCHkOa9tjnCyLDEPwCmCPRK8Xtn78FM/edit?gid=222219902" TargetMode="External"/><Relationship Id="rId129" Type="http://schemas.openxmlformats.org/officeDocument/2006/relationships/hyperlink" Target="https://youtu.be/yddn7iLLwVY" TargetMode="External"/><Relationship Id="rId128" Type="http://schemas.openxmlformats.org/officeDocument/2006/relationships/hyperlink" Target="https://genshin.aspirine.su/" TargetMode="External"/><Relationship Id="rId249" Type="http://schemas.openxmlformats.org/officeDocument/2006/relationships/hyperlink" Target="https://genshin.aspirine.su/" TargetMode="External"/><Relationship Id="rId127" Type="http://schemas.openxmlformats.org/officeDocument/2006/relationships/hyperlink" Target="https://genshin.aspirine.su/" TargetMode="External"/><Relationship Id="rId248" Type="http://schemas.openxmlformats.org/officeDocument/2006/relationships/hyperlink" Target="https://genshin.aspirine.su/" TargetMode="External"/><Relationship Id="rId126" Type="http://schemas.openxmlformats.org/officeDocument/2006/relationships/hyperlink" Target="https://youtu.be/y6aAxuRebnc" TargetMode="External"/><Relationship Id="rId247" Type="http://schemas.openxmlformats.org/officeDocument/2006/relationships/hyperlink" Target="https://genshin.aspirine.su/" TargetMode="External"/><Relationship Id="rId121" Type="http://schemas.openxmlformats.org/officeDocument/2006/relationships/hyperlink" Target="https://genshin.aspirine.su/" TargetMode="External"/><Relationship Id="rId242" Type="http://schemas.openxmlformats.org/officeDocument/2006/relationships/hyperlink" Target="https://genshin.aspirine.su/" TargetMode="External"/><Relationship Id="rId120" Type="http://schemas.openxmlformats.org/officeDocument/2006/relationships/hyperlink" Target="https://genshin.aspirine.su/" TargetMode="External"/><Relationship Id="rId241" Type="http://schemas.openxmlformats.org/officeDocument/2006/relationships/hyperlink" Target="https://genshin.aspirine.su/" TargetMode="External"/><Relationship Id="rId240" Type="http://schemas.openxmlformats.org/officeDocument/2006/relationships/hyperlink" Target="https://genshin.aspirine.su/" TargetMode="External"/><Relationship Id="rId125" Type="http://schemas.openxmlformats.org/officeDocument/2006/relationships/hyperlink" Target="https://genshin.aspirine.su/" TargetMode="External"/><Relationship Id="rId246" Type="http://schemas.openxmlformats.org/officeDocument/2006/relationships/hyperlink" Target="https://youtu.be/NT5LmjgrQvI" TargetMode="External"/><Relationship Id="rId124" Type="http://schemas.openxmlformats.org/officeDocument/2006/relationships/hyperlink" Target="https://genshin.aspirine.su/" TargetMode="External"/><Relationship Id="rId245" Type="http://schemas.openxmlformats.org/officeDocument/2006/relationships/hyperlink" Target="https://genshin.aspirine.su/" TargetMode="External"/><Relationship Id="rId123" Type="http://schemas.openxmlformats.org/officeDocument/2006/relationships/hyperlink" Target="https://genshin.aspirine.su/" TargetMode="External"/><Relationship Id="rId244" Type="http://schemas.openxmlformats.org/officeDocument/2006/relationships/hyperlink" Target="https://genshin.aspirine.su/" TargetMode="External"/><Relationship Id="rId122" Type="http://schemas.openxmlformats.org/officeDocument/2006/relationships/hyperlink" Target="https://genshin.aspirine.su/" TargetMode="External"/><Relationship Id="rId243" Type="http://schemas.openxmlformats.org/officeDocument/2006/relationships/hyperlink" Target="https://genshin.aspirine.su/" TargetMode="External"/><Relationship Id="rId95" Type="http://schemas.openxmlformats.org/officeDocument/2006/relationships/hyperlink" Target="https://genshin.aspirine.su/" TargetMode="External"/><Relationship Id="rId94" Type="http://schemas.openxmlformats.org/officeDocument/2006/relationships/hyperlink" Target="https://genshin.aspirine.su/" TargetMode="External"/><Relationship Id="rId97" Type="http://schemas.openxmlformats.org/officeDocument/2006/relationships/hyperlink" Target="https://genshin.aspirine.su/" TargetMode="External"/><Relationship Id="rId96" Type="http://schemas.openxmlformats.org/officeDocument/2006/relationships/hyperlink" Target="https://genshin.aspirine.su/" TargetMode="External"/><Relationship Id="rId99" Type="http://schemas.openxmlformats.org/officeDocument/2006/relationships/hyperlink" Target="https://genshin.aspirine.su/" TargetMode="External"/><Relationship Id="rId98" Type="http://schemas.openxmlformats.org/officeDocument/2006/relationships/hyperlink" Target="https://genshin.aspirine.su/" TargetMode="External"/><Relationship Id="rId91" Type="http://schemas.openxmlformats.org/officeDocument/2006/relationships/hyperlink" Target="https://genshin.aspirine.su/" TargetMode="External"/><Relationship Id="rId90" Type="http://schemas.openxmlformats.org/officeDocument/2006/relationships/hyperlink" Target="https://youtu.be/3I_b-Dyv03A" TargetMode="External"/><Relationship Id="rId93" Type="http://schemas.openxmlformats.org/officeDocument/2006/relationships/hyperlink" Target="https://youtu.be/l11tg6VCGUc" TargetMode="External"/><Relationship Id="rId92" Type="http://schemas.openxmlformats.org/officeDocument/2006/relationships/hyperlink" Target="https://genshin.aspirine.su/" TargetMode="External"/><Relationship Id="rId118" Type="http://schemas.openxmlformats.org/officeDocument/2006/relationships/hyperlink" Target="https://genshin.aspirine.su/" TargetMode="External"/><Relationship Id="rId239" Type="http://schemas.openxmlformats.org/officeDocument/2006/relationships/hyperlink" Target="https://youtu.be/hRHgb62thyo" TargetMode="External"/><Relationship Id="rId117" Type="http://schemas.openxmlformats.org/officeDocument/2006/relationships/hyperlink" Target="https://youtu.be/OAAXqGW4ph4" TargetMode="External"/><Relationship Id="rId238" Type="http://schemas.openxmlformats.org/officeDocument/2006/relationships/hyperlink" Target="https://genshin.aspirine.su/" TargetMode="External"/><Relationship Id="rId116" Type="http://schemas.openxmlformats.org/officeDocument/2006/relationships/hyperlink" Target="https://genshin.aspirine.su/" TargetMode="External"/><Relationship Id="rId237" Type="http://schemas.openxmlformats.org/officeDocument/2006/relationships/hyperlink" Target="https://genshin.aspirine.su/" TargetMode="External"/><Relationship Id="rId115" Type="http://schemas.openxmlformats.org/officeDocument/2006/relationships/hyperlink" Target="https://genshin.aspirine.su/" TargetMode="External"/><Relationship Id="rId236" Type="http://schemas.openxmlformats.org/officeDocument/2006/relationships/hyperlink" Target="https://genshin.aspirine.su/" TargetMode="External"/><Relationship Id="rId119" Type="http://schemas.openxmlformats.org/officeDocument/2006/relationships/hyperlink" Target="https://genshin.aspirine.su/" TargetMode="External"/><Relationship Id="rId110" Type="http://schemas.openxmlformats.org/officeDocument/2006/relationships/hyperlink" Target="https://genshin.aspirine.su/" TargetMode="External"/><Relationship Id="rId231" Type="http://schemas.openxmlformats.org/officeDocument/2006/relationships/hyperlink" Target="https://genshin.aspirine.su/" TargetMode="External"/><Relationship Id="rId230" Type="http://schemas.openxmlformats.org/officeDocument/2006/relationships/hyperlink" Target="https://genshin.aspirine.su/" TargetMode="External"/><Relationship Id="rId114" Type="http://schemas.openxmlformats.org/officeDocument/2006/relationships/hyperlink" Target="https://genshin.aspirine.su/" TargetMode="External"/><Relationship Id="rId235" Type="http://schemas.openxmlformats.org/officeDocument/2006/relationships/hyperlink" Target="https://genshin.aspirine.su/" TargetMode="External"/><Relationship Id="rId113" Type="http://schemas.openxmlformats.org/officeDocument/2006/relationships/hyperlink" Target="https://genshin.aspirine.su/" TargetMode="External"/><Relationship Id="rId234" Type="http://schemas.openxmlformats.org/officeDocument/2006/relationships/hyperlink" Target="https://genshin.aspirine.su/" TargetMode="External"/><Relationship Id="rId112" Type="http://schemas.openxmlformats.org/officeDocument/2006/relationships/hyperlink" Target="https://genshin.aspirine.su/" TargetMode="External"/><Relationship Id="rId233" Type="http://schemas.openxmlformats.org/officeDocument/2006/relationships/hyperlink" Target="https://genshin.aspirine.su/" TargetMode="External"/><Relationship Id="rId111" Type="http://schemas.openxmlformats.org/officeDocument/2006/relationships/hyperlink" Target="https://genshin.aspirine.su/" TargetMode="External"/><Relationship Id="rId232" Type="http://schemas.openxmlformats.org/officeDocument/2006/relationships/hyperlink" Target="https://genshin.aspirine.su/" TargetMode="External"/><Relationship Id="rId301" Type="http://schemas.openxmlformats.org/officeDocument/2006/relationships/table" Target="../tables/table1.xml"/><Relationship Id="rId206" Type="http://schemas.openxmlformats.org/officeDocument/2006/relationships/hyperlink" Target="https://genshin.aspirine.su/" TargetMode="External"/><Relationship Id="rId205" Type="http://schemas.openxmlformats.org/officeDocument/2006/relationships/hyperlink" Target="https://genshin.aspirine.su/" TargetMode="External"/><Relationship Id="rId204" Type="http://schemas.openxmlformats.org/officeDocument/2006/relationships/hyperlink" Target="https://genshin.aspirine.su/" TargetMode="External"/><Relationship Id="rId203" Type="http://schemas.openxmlformats.org/officeDocument/2006/relationships/hyperlink" Target="https://youtu.be/aG-gJDVxs-w" TargetMode="External"/><Relationship Id="rId209" Type="http://schemas.openxmlformats.org/officeDocument/2006/relationships/hyperlink" Target="https://genshin.aspirine.su/" TargetMode="External"/><Relationship Id="rId208" Type="http://schemas.openxmlformats.org/officeDocument/2006/relationships/hyperlink" Target="https://genshin.aspirine.su/" TargetMode="External"/><Relationship Id="rId207" Type="http://schemas.openxmlformats.org/officeDocument/2006/relationships/hyperlink" Target="https://genshin.aspirine.su/" TargetMode="External"/><Relationship Id="rId202" Type="http://schemas.openxmlformats.org/officeDocument/2006/relationships/hyperlink" Target="https://genshin.aspirine.su/" TargetMode="External"/><Relationship Id="rId201" Type="http://schemas.openxmlformats.org/officeDocument/2006/relationships/hyperlink" Target="https://genshin.aspirine.su/" TargetMode="External"/><Relationship Id="rId200" Type="http://schemas.openxmlformats.org/officeDocument/2006/relationships/hyperlink" Target="https://genshin.aspirine.su/"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genshin.aspirine.su/" TargetMode="External"/><Relationship Id="rId42" Type="http://schemas.openxmlformats.org/officeDocument/2006/relationships/hyperlink" Target="https://genshin.aspirine.su/" TargetMode="External"/><Relationship Id="rId41" Type="http://schemas.openxmlformats.org/officeDocument/2006/relationships/hyperlink" Target="https://genshin.aspirine.su/" TargetMode="External"/><Relationship Id="rId44" Type="http://schemas.openxmlformats.org/officeDocument/2006/relationships/hyperlink" Target="https://genshin.aspirine.su/" TargetMode="External"/><Relationship Id="rId43" Type="http://schemas.openxmlformats.org/officeDocument/2006/relationships/hyperlink" Target="https://genshin.aspirine.su/" TargetMode="External"/><Relationship Id="rId46" Type="http://schemas.openxmlformats.org/officeDocument/2006/relationships/hyperlink" Target="https://genshin.aspirine.su/" TargetMode="External"/><Relationship Id="rId45" Type="http://schemas.openxmlformats.org/officeDocument/2006/relationships/hyperlink" Target="https://genshin.aspirine.su/" TargetMode="External"/><Relationship Id="rId48" Type="http://schemas.openxmlformats.org/officeDocument/2006/relationships/hyperlink" Target="https://genshin.aspirine.su/" TargetMode="External"/><Relationship Id="rId47" Type="http://schemas.openxmlformats.org/officeDocument/2006/relationships/hyperlink" Target="https://genshin.aspirine.su/" TargetMode="External"/><Relationship Id="rId49" Type="http://schemas.openxmlformats.org/officeDocument/2006/relationships/hyperlink" Target="https://genshin.aspirine.su/" TargetMode="External"/><Relationship Id="rId31" Type="http://schemas.openxmlformats.org/officeDocument/2006/relationships/hyperlink" Target="https://genshin.aspirine.su/" TargetMode="External"/><Relationship Id="rId30" Type="http://schemas.openxmlformats.org/officeDocument/2006/relationships/hyperlink" Target="https://genshin.aspirine.su/" TargetMode="External"/><Relationship Id="rId33" Type="http://schemas.openxmlformats.org/officeDocument/2006/relationships/hyperlink" Target="https://genshin.aspirine.su/" TargetMode="External"/><Relationship Id="rId32" Type="http://schemas.openxmlformats.org/officeDocument/2006/relationships/hyperlink" Target="https://genshin.aspirine.su/" TargetMode="External"/><Relationship Id="rId35" Type="http://schemas.openxmlformats.org/officeDocument/2006/relationships/hyperlink" Target="https://genshin.aspirine.su/" TargetMode="External"/><Relationship Id="rId34" Type="http://schemas.openxmlformats.org/officeDocument/2006/relationships/hyperlink" Target="https://genshin.aspirine.su/" TargetMode="External"/><Relationship Id="rId37" Type="http://schemas.openxmlformats.org/officeDocument/2006/relationships/hyperlink" Target="https://genshin.aspirine.su/" TargetMode="External"/><Relationship Id="rId36" Type="http://schemas.openxmlformats.org/officeDocument/2006/relationships/hyperlink" Target="https://genshin.aspirine.su/" TargetMode="External"/><Relationship Id="rId39" Type="http://schemas.openxmlformats.org/officeDocument/2006/relationships/hyperlink" Target="https://genshin.aspirine.su/" TargetMode="External"/><Relationship Id="rId38" Type="http://schemas.openxmlformats.org/officeDocument/2006/relationships/hyperlink" Target="https://genshin.aspirine.su/" TargetMode="External"/><Relationship Id="rId20" Type="http://schemas.openxmlformats.org/officeDocument/2006/relationships/hyperlink" Target="https://genshin.aspirine.su/" TargetMode="External"/><Relationship Id="rId22" Type="http://schemas.openxmlformats.org/officeDocument/2006/relationships/hyperlink" Target="https://genshin.aspirine.su/" TargetMode="External"/><Relationship Id="rId21" Type="http://schemas.openxmlformats.org/officeDocument/2006/relationships/hyperlink" Target="https://docs.google.com/spreadsheets/d/1tQEtcyNSCUvAUCHkOa9tjnCyLDEPwCmCPRK8Xtn78FM/edit?gid=1770781884" TargetMode="External"/><Relationship Id="rId24" Type="http://schemas.openxmlformats.org/officeDocument/2006/relationships/hyperlink" Target="https://docs.google.com/spreadsheets/d/1tQEtcyNSCUvAUCHkOa9tjnCyLDEPwCmCPRK8Xtn78FM/edit?gid=513764937" TargetMode="External"/><Relationship Id="rId23" Type="http://schemas.openxmlformats.org/officeDocument/2006/relationships/hyperlink" Target="https://docs.google.com/spreadsheets/d/1tQEtcyNSCUvAUCHkOa9tjnCyLDEPwCmCPRK8Xtn78FM/edit?gid=982020803" TargetMode="External"/><Relationship Id="rId26" Type="http://schemas.openxmlformats.org/officeDocument/2006/relationships/hyperlink" Target="https://genshin.aspirine.su/" TargetMode="External"/><Relationship Id="rId25" Type="http://schemas.openxmlformats.org/officeDocument/2006/relationships/hyperlink" Target="https://genshin.aspirine.su/" TargetMode="External"/><Relationship Id="rId28" Type="http://schemas.openxmlformats.org/officeDocument/2006/relationships/hyperlink" Target="https://genshin.aspirine.su/" TargetMode="External"/><Relationship Id="rId27" Type="http://schemas.openxmlformats.org/officeDocument/2006/relationships/hyperlink" Target="https://genshin.aspirine.su/" TargetMode="External"/><Relationship Id="rId29" Type="http://schemas.openxmlformats.org/officeDocument/2006/relationships/hyperlink" Target="https://gcsim.app/sh/jW96DzLLc6Lw" TargetMode="External"/><Relationship Id="rId11" Type="http://schemas.openxmlformats.org/officeDocument/2006/relationships/hyperlink" Target="https://docs.google.com/spreadsheets/d/1tQEtcyNSCUvAUCHkOa9tjnCyLDEPwCmCPRK8Xtn78FM/edit?gid=1089293944" TargetMode="External"/><Relationship Id="rId10" Type="http://schemas.openxmlformats.org/officeDocument/2006/relationships/hyperlink" Target="https://genshin.aspirine.su/" TargetMode="External"/><Relationship Id="rId13" Type="http://schemas.openxmlformats.org/officeDocument/2006/relationships/hyperlink" Target="https://docs.google.com/spreadsheets/d/1tQEtcyNSCUvAUCHkOa9tjnCyLDEPwCmCPRK8Xtn78FM/edit?gid=1901931405" TargetMode="External"/><Relationship Id="rId12" Type="http://schemas.openxmlformats.org/officeDocument/2006/relationships/hyperlink" Target="https://genshin.aspirine.su/" TargetMode="External"/><Relationship Id="rId15" Type="http://schemas.openxmlformats.org/officeDocument/2006/relationships/hyperlink" Target="https://genshin.aspirine.su/" TargetMode="External"/><Relationship Id="rId14" Type="http://schemas.openxmlformats.org/officeDocument/2006/relationships/hyperlink" Target="https://docs.google.com/spreadsheets/d/1tQEtcyNSCUvAUCHkOa9tjnCyLDEPwCmCPRK8Xtn78FM/edit?gid=1015121446" TargetMode="External"/><Relationship Id="rId17" Type="http://schemas.openxmlformats.org/officeDocument/2006/relationships/hyperlink" Target="https://genshin.aspirine.su/" TargetMode="External"/><Relationship Id="rId16" Type="http://schemas.openxmlformats.org/officeDocument/2006/relationships/hyperlink" Target="https://docs.google.com/spreadsheets/d/1tQEtcyNSCUvAUCHkOa9tjnCyLDEPwCmCPRK8Xtn78FM/edit?gid=639377153" TargetMode="External"/><Relationship Id="rId19" Type="http://schemas.openxmlformats.org/officeDocument/2006/relationships/hyperlink" Target="https://genshin.aspirine.su/" TargetMode="External"/><Relationship Id="rId18" Type="http://schemas.openxmlformats.org/officeDocument/2006/relationships/hyperlink" Target="https://genshin.aspirine.su/" TargetMode="External"/><Relationship Id="rId84" Type="http://schemas.openxmlformats.org/officeDocument/2006/relationships/hyperlink" Target="https://genshin.aspirine.su/" TargetMode="External"/><Relationship Id="rId83" Type="http://schemas.openxmlformats.org/officeDocument/2006/relationships/hyperlink" Target="https://genshin.aspirine.su/" TargetMode="External"/><Relationship Id="rId86" Type="http://schemas.openxmlformats.org/officeDocument/2006/relationships/hyperlink" Target="https://genshin.aspirine.su/" TargetMode="External"/><Relationship Id="rId85" Type="http://schemas.openxmlformats.org/officeDocument/2006/relationships/hyperlink" Target="https://genshin.aspirine.su/" TargetMode="External"/><Relationship Id="rId88" Type="http://schemas.openxmlformats.org/officeDocument/2006/relationships/hyperlink" Target="https://genshin.aspirine.su/" TargetMode="External"/><Relationship Id="rId87" Type="http://schemas.openxmlformats.org/officeDocument/2006/relationships/hyperlink" Target="https://genshin.aspirine.su/" TargetMode="External"/><Relationship Id="rId89" Type="http://schemas.openxmlformats.org/officeDocument/2006/relationships/hyperlink" Target="https://genshin.aspirine.su/" TargetMode="External"/><Relationship Id="rId80" Type="http://schemas.openxmlformats.org/officeDocument/2006/relationships/hyperlink" Target="https://genshin.aspirine.su/" TargetMode="External"/><Relationship Id="rId82" Type="http://schemas.openxmlformats.org/officeDocument/2006/relationships/hyperlink" Target="https://gcsim.app/sh/fBC6DLBHjQpn" TargetMode="External"/><Relationship Id="rId81" Type="http://schemas.openxmlformats.org/officeDocument/2006/relationships/hyperlink" Target="https://genshin.aspirine.su/" TargetMode="External"/><Relationship Id="rId1" Type="http://schemas.openxmlformats.org/officeDocument/2006/relationships/comments" Target="../comments3.xml"/><Relationship Id="rId2" Type="http://schemas.openxmlformats.org/officeDocument/2006/relationships/hyperlink" Target="https://genshin.aspirine.su/" TargetMode="External"/><Relationship Id="rId3" Type="http://schemas.openxmlformats.org/officeDocument/2006/relationships/hyperlink" Target="https://genshin.aspirine.su/" TargetMode="External"/><Relationship Id="rId4" Type="http://schemas.openxmlformats.org/officeDocument/2006/relationships/hyperlink" Target="https://genshin.aspirine.su/" TargetMode="External"/><Relationship Id="rId9" Type="http://schemas.openxmlformats.org/officeDocument/2006/relationships/hyperlink" Target="https://genshin.aspirine.su/" TargetMode="External"/><Relationship Id="rId5" Type="http://schemas.openxmlformats.org/officeDocument/2006/relationships/hyperlink" Target="https://genshin.aspirine.su/" TargetMode="External"/><Relationship Id="rId6" Type="http://schemas.openxmlformats.org/officeDocument/2006/relationships/hyperlink" Target="https://genshin.aspirine.su/" TargetMode="External"/><Relationship Id="rId7" Type="http://schemas.openxmlformats.org/officeDocument/2006/relationships/hyperlink" Target="https://genshin.aspirine.su/" TargetMode="External"/><Relationship Id="rId8" Type="http://schemas.openxmlformats.org/officeDocument/2006/relationships/hyperlink" Target="https://genshin.aspirine.su/" TargetMode="External"/><Relationship Id="rId73" Type="http://schemas.openxmlformats.org/officeDocument/2006/relationships/hyperlink" Target="https://genshin.aspirine.su/" TargetMode="External"/><Relationship Id="rId72" Type="http://schemas.openxmlformats.org/officeDocument/2006/relationships/hyperlink" Target="https://genshin.aspirine.su/" TargetMode="External"/><Relationship Id="rId75" Type="http://schemas.openxmlformats.org/officeDocument/2006/relationships/hyperlink" Target="https://genshin.aspirine.su/" TargetMode="External"/><Relationship Id="rId74" Type="http://schemas.openxmlformats.org/officeDocument/2006/relationships/hyperlink" Target="https://genshin.aspirine.su/" TargetMode="External"/><Relationship Id="rId77" Type="http://schemas.openxmlformats.org/officeDocument/2006/relationships/hyperlink" Target="https://genshin.aspirine.su/" TargetMode="External"/><Relationship Id="rId76" Type="http://schemas.openxmlformats.org/officeDocument/2006/relationships/hyperlink" Target="https://genshin.aspirine.su/" TargetMode="External"/><Relationship Id="rId79" Type="http://schemas.openxmlformats.org/officeDocument/2006/relationships/hyperlink" Target="https://genshin.aspirine.su/" TargetMode="External"/><Relationship Id="rId78" Type="http://schemas.openxmlformats.org/officeDocument/2006/relationships/hyperlink" Target="https://genshin.aspirine.su/" TargetMode="External"/><Relationship Id="rId71" Type="http://schemas.openxmlformats.org/officeDocument/2006/relationships/hyperlink" Target="https://genshin.aspirine.su/" TargetMode="External"/><Relationship Id="rId70" Type="http://schemas.openxmlformats.org/officeDocument/2006/relationships/hyperlink" Target="https://genshin.aspirine.su/" TargetMode="External"/><Relationship Id="rId62" Type="http://schemas.openxmlformats.org/officeDocument/2006/relationships/hyperlink" Target="https://docs.google.com/spreadsheets/d/1tQEtcyNSCUvAUCHkOa9tjnCyLDEPwCmCPRK8Xtn78FM/edit?gid=776547770" TargetMode="External"/><Relationship Id="rId61" Type="http://schemas.openxmlformats.org/officeDocument/2006/relationships/hyperlink" Target="https://genshin.aspirine.su/" TargetMode="External"/><Relationship Id="rId64" Type="http://schemas.openxmlformats.org/officeDocument/2006/relationships/hyperlink" Target="https://genshin.aspirine.su/" TargetMode="External"/><Relationship Id="rId63" Type="http://schemas.openxmlformats.org/officeDocument/2006/relationships/hyperlink" Target="https://docs.google.com/spreadsheets/d/1tQEtcyNSCUvAUCHkOa9tjnCyLDEPwCmCPRK8Xtn78FM/edit?gid=1318012595" TargetMode="External"/><Relationship Id="rId66" Type="http://schemas.openxmlformats.org/officeDocument/2006/relationships/hyperlink" Target="https://genshin.aspirine.su/" TargetMode="External"/><Relationship Id="rId65" Type="http://schemas.openxmlformats.org/officeDocument/2006/relationships/hyperlink" Target="https://genshin.aspirine.su/" TargetMode="External"/><Relationship Id="rId68" Type="http://schemas.openxmlformats.org/officeDocument/2006/relationships/hyperlink" Target="https://genshin.aspirine.su/" TargetMode="External"/><Relationship Id="rId67" Type="http://schemas.openxmlformats.org/officeDocument/2006/relationships/hyperlink" Target="https://genshin.aspirine.su/" TargetMode="External"/><Relationship Id="rId60" Type="http://schemas.openxmlformats.org/officeDocument/2006/relationships/hyperlink" Target="https://genshin.aspirine.su/" TargetMode="External"/><Relationship Id="rId69" Type="http://schemas.openxmlformats.org/officeDocument/2006/relationships/hyperlink" Target="https://genshin.aspirine.su/" TargetMode="External"/><Relationship Id="rId51" Type="http://schemas.openxmlformats.org/officeDocument/2006/relationships/hyperlink" Target="https://genshin.aspirine.su/" TargetMode="External"/><Relationship Id="rId50" Type="http://schemas.openxmlformats.org/officeDocument/2006/relationships/hyperlink" Target="https://genshin.aspirine.su/" TargetMode="External"/><Relationship Id="rId53" Type="http://schemas.openxmlformats.org/officeDocument/2006/relationships/hyperlink" Target="https://genshin.aspirine.su/" TargetMode="External"/><Relationship Id="rId52" Type="http://schemas.openxmlformats.org/officeDocument/2006/relationships/hyperlink" Target="https://genshin.aspirine.su/" TargetMode="External"/><Relationship Id="rId55" Type="http://schemas.openxmlformats.org/officeDocument/2006/relationships/hyperlink" Target="https://genshin.aspirine.su/" TargetMode="External"/><Relationship Id="rId54" Type="http://schemas.openxmlformats.org/officeDocument/2006/relationships/hyperlink" Target="https://genshin.aspirine.su/" TargetMode="External"/><Relationship Id="rId57" Type="http://schemas.openxmlformats.org/officeDocument/2006/relationships/hyperlink" Target="https://genshin.aspirine.su/" TargetMode="External"/><Relationship Id="rId56" Type="http://schemas.openxmlformats.org/officeDocument/2006/relationships/hyperlink" Target="https://genshin.aspirine.su/" TargetMode="External"/><Relationship Id="rId59" Type="http://schemas.openxmlformats.org/officeDocument/2006/relationships/hyperlink" Target="https://genshin.aspirine.su/" TargetMode="External"/><Relationship Id="rId58" Type="http://schemas.openxmlformats.org/officeDocument/2006/relationships/hyperlink" Target="https://genshin.aspirine.su/" TargetMode="External"/><Relationship Id="rId107" Type="http://schemas.openxmlformats.org/officeDocument/2006/relationships/hyperlink" Target="https://genshin.aspirine.su/" TargetMode="External"/><Relationship Id="rId106" Type="http://schemas.openxmlformats.org/officeDocument/2006/relationships/hyperlink" Target="https://genshin.aspirine.su/" TargetMode="External"/><Relationship Id="rId105" Type="http://schemas.openxmlformats.org/officeDocument/2006/relationships/hyperlink" Target="https://genshin.aspirine.su/" TargetMode="External"/><Relationship Id="rId104" Type="http://schemas.openxmlformats.org/officeDocument/2006/relationships/hyperlink" Target="https://genshin.aspirine.su/" TargetMode="External"/><Relationship Id="rId109" Type="http://schemas.openxmlformats.org/officeDocument/2006/relationships/hyperlink" Target="https://genshin.aspirine.su/" TargetMode="External"/><Relationship Id="rId108" Type="http://schemas.openxmlformats.org/officeDocument/2006/relationships/hyperlink" Target="https://genshin.aspirine.su/" TargetMode="External"/><Relationship Id="rId103" Type="http://schemas.openxmlformats.org/officeDocument/2006/relationships/hyperlink" Target="https://genshin.aspirine.su/" TargetMode="External"/><Relationship Id="rId102" Type="http://schemas.openxmlformats.org/officeDocument/2006/relationships/hyperlink" Target="https://genshin.aspirine.su/" TargetMode="External"/><Relationship Id="rId101" Type="http://schemas.openxmlformats.org/officeDocument/2006/relationships/hyperlink" Target="https://genshin.aspirine.su/" TargetMode="External"/><Relationship Id="rId100" Type="http://schemas.openxmlformats.org/officeDocument/2006/relationships/hyperlink" Target="https://genshin.aspirine.su/" TargetMode="External"/><Relationship Id="rId128" Type="http://schemas.openxmlformats.org/officeDocument/2006/relationships/table" Target="../tables/table2.xml"/><Relationship Id="rId126" Type="http://schemas.openxmlformats.org/officeDocument/2006/relationships/vmlDrawing" Target="../drawings/vmlDrawing3.vml"/><Relationship Id="rId121" Type="http://schemas.openxmlformats.org/officeDocument/2006/relationships/hyperlink" Target="https://genshin.aspirine.su/" TargetMode="External"/><Relationship Id="rId120" Type="http://schemas.openxmlformats.org/officeDocument/2006/relationships/hyperlink" Target="https://genshin.aspirine.su/" TargetMode="External"/><Relationship Id="rId125" Type="http://schemas.openxmlformats.org/officeDocument/2006/relationships/drawing" Target="../drawings/drawing3.xml"/><Relationship Id="rId124" Type="http://schemas.openxmlformats.org/officeDocument/2006/relationships/hyperlink" Target="https://gcsim.app/sh/JLLNPFBNm8mP" TargetMode="External"/><Relationship Id="rId123" Type="http://schemas.openxmlformats.org/officeDocument/2006/relationships/hyperlink" Target="https://genshin.aspirine.su/" TargetMode="External"/><Relationship Id="rId122" Type="http://schemas.openxmlformats.org/officeDocument/2006/relationships/hyperlink" Target="https://genshin.aspirine.su/" TargetMode="External"/><Relationship Id="rId95" Type="http://schemas.openxmlformats.org/officeDocument/2006/relationships/hyperlink" Target="https://gcsim.app/sh/BfrgcQPjHNH9" TargetMode="External"/><Relationship Id="rId94" Type="http://schemas.openxmlformats.org/officeDocument/2006/relationships/hyperlink" Target="https://genshin.aspirine.su/" TargetMode="External"/><Relationship Id="rId97" Type="http://schemas.openxmlformats.org/officeDocument/2006/relationships/hyperlink" Target="https://genshin.aspirine.su/" TargetMode="External"/><Relationship Id="rId96" Type="http://schemas.openxmlformats.org/officeDocument/2006/relationships/hyperlink" Target="https://genshin.aspirine.su/" TargetMode="External"/><Relationship Id="rId99" Type="http://schemas.openxmlformats.org/officeDocument/2006/relationships/hyperlink" Target="https://genshin.aspirine.su/" TargetMode="External"/><Relationship Id="rId98" Type="http://schemas.openxmlformats.org/officeDocument/2006/relationships/hyperlink" Target="https://genshin.aspirine.su/" TargetMode="External"/><Relationship Id="rId91" Type="http://schemas.openxmlformats.org/officeDocument/2006/relationships/hyperlink" Target="https://genshin.aspirine.su/" TargetMode="External"/><Relationship Id="rId90" Type="http://schemas.openxmlformats.org/officeDocument/2006/relationships/hyperlink" Target="https://genshin.aspirine.su/" TargetMode="External"/><Relationship Id="rId93" Type="http://schemas.openxmlformats.org/officeDocument/2006/relationships/hyperlink" Target="https://genshin.aspirine.su/" TargetMode="External"/><Relationship Id="rId92" Type="http://schemas.openxmlformats.org/officeDocument/2006/relationships/hyperlink" Target="https://genshin.aspirine.su/" TargetMode="External"/><Relationship Id="rId118" Type="http://schemas.openxmlformats.org/officeDocument/2006/relationships/hyperlink" Target="https://genshin.aspirine.su/" TargetMode="External"/><Relationship Id="rId117" Type="http://schemas.openxmlformats.org/officeDocument/2006/relationships/hyperlink" Target="https://genshin.aspirine.su/" TargetMode="External"/><Relationship Id="rId116" Type="http://schemas.openxmlformats.org/officeDocument/2006/relationships/hyperlink" Target="https://genshin.aspirine.su/" TargetMode="External"/><Relationship Id="rId115" Type="http://schemas.openxmlformats.org/officeDocument/2006/relationships/hyperlink" Target="https://genshin.aspirine.su/" TargetMode="External"/><Relationship Id="rId119" Type="http://schemas.openxmlformats.org/officeDocument/2006/relationships/hyperlink" Target="https://genshin.aspirine.su/" TargetMode="External"/><Relationship Id="rId110" Type="http://schemas.openxmlformats.org/officeDocument/2006/relationships/hyperlink" Target="https://genshin.aspirine.su/" TargetMode="External"/><Relationship Id="rId114" Type="http://schemas.openxmlformats.org/officeDocument/2006/relationships/hyperlink" Target="https://genshin.aspirine.su/" TargetMode="External"/><Relationship Id="rId113" Type="http://schemas.openxmlformats.org/officeDocument/2006/relationships/hyperlink" Target="https://genshin.aspirine.su/" TargetMode="External"/><Relationship Id="rId112" Type="http://schemas.openxmlformats.org/officeDocument/2006/relationships/hyperlink" Target="https://genshin.aspirine.su/" TargetMode="External"/><Relationship Id="rId111" Type="http://schemas.openxmlformats.org/officeDocument/2006/relationships/hyperlink" Target="https://genshin.aspirine.su/"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 Id="rId5" Type="http://schemas.openxmlformats.org/officeDocument/2006/relationships/table" Target="../tables/table3.xml"/></Relationships>
</file>

<file path=xl/worksheets/_rels/sheet5.xml.rels><?xml version="1.0" encoding="UTF-8" standalone="yes"?><Relationships xmlns="http://schemas.openxmlformats.org/package/2006/relationships"><Relationship Id="rId40" Type="http://schemas.openxmlformats.org/officeDocument/2006/relationships/hyperlink" Target="https://genshin.aspirine.su/" TargetMode="External"/><Relationship Id="rId42" Type="http://schemas.openxmlformats.org/officeDocument/2006/relationships/hyperlink" Target="https://genshin.aspirine.su/" TargetMode="External"/><Relationship Id="rId41" Type="http://schemas.openxmlformats.org/officeDocument/2006/relationships/hyperlink" Target="https://docs.google.com/spreadsheets/d/1tQEtcyNSCUvAUCHkOa9tjnCyLDEPwCmCPRK8Xtn78FM/edit?gid=496818823" TargetMode="External"/><Relationship Id="rId44" Type="http://schemas.openxmlformats.org/officeDocument/2006/relationships/hyperlink" Target="https://genshin.aspirine.su/" TargetMode="External"/><Relationship Id="rId43" Type="http://schemas.openxmlformats.org/officeDocument/2006/relationships/hyperlink" Target="https://genshin.aspirine.su/" TargetMode="External"/><Relationship Id="rId46" Type="http://schemas.openxmlformats.org/officeDocument/2006/relationships/hyperlink" Target="https://genshin.aspirine.su/" TargetMode="External"/><Relationship Id="rId45" Type="http://schemas.openxmlformats.org/officeDocument/2006/relationships/hyperlink" Target="https://genshin.aspirine.su/" TargetMode="External"/><Relationship Id="rId48" Type="http://schemas.openxmlformats.org/officeDocument/2006/relationships/hyperlink" Target="https://genshin.aspirine.su/" TargetMode="External"/><Relationship Id="rId47" Type="http://schemas.openxmlformats.org/officeDocument/2006/relationships/hyperlink" Target="https://genshin.aspirine.su/" TargetMode="External"/><Relationship Id="rId49" Type="http://schemas.openxmlformats.org/officeDocument/2006/relationships/hyperlink" Target="https://genshin.aspirine.su/" TargetMode="External"/><Relationship Id="rId31" Type="http://schemas.openxmlformats.org/officeDocument/2006/relationships/hyperlink" Target="https://genshin.aspirine.su/" TargetMode="External"/><Relationship Id="rId30" Type="http://schemas.openxmlformats.org/officeDocument/2006/relationships/hyperlink" Target="https://genshin.aspirine.su/" TargetMode="External"/><Relationship Id="rId33" Type="http://schemas.openxmlformats.org/officeDocument/2006/relationships/hyperlink" Target="https://genshin.aspirine.su/" TargetMode="External"/><Relationship Id="rId32" Type="http://schemas.openxmlformats.org/officeDocument/2006/relationships/hyperlink" Target="https://genshin.aspirine.su/" TargetMode="External"/><Relationship Id="rId35" Type="http://schemas.openxmlformats.org/officeDocument/2006/relationships/hyperlink" Target="https://genshin.aspirine.su/" TargetMode="External"/><Relationship Id="rId34" Type="http://schemas.openxmlformats.org/officeDocument/2006/relationships/hyperlink" Target="https://genshin.aspirine.su/" TargetMode="External"/><Relationship Id="rId37" Type="http://schemas.openxmlformats.org/officeDocument/2006/relationships/hyperlink" Target="https://genshin.aspirine.su/" TargetMode="External"/><Relationship Id="rId36" Type="http://schemas.openxmlformats.org/officeDocument/2006/relationships/hyperlink" Target="https://genshin.aspirine.su/" TargetMode="External"/><Relationship Id="rId39" Type="http://schemas.openxmlformats.org/officeDocument/2006/relationships/hyperlink" Target="https://genshin.aspirine.su/" TargetMode="External"/><Relationship Id="rId38" Type="http://schemas.openxmlformats.org/officeDocument/2006/relationships/hyperlink" Target="https://genshin.aspirine.su/" TargetMode="External"/><Relationship Id="rId20" Type="http://schemas.openxmlformats.org/officeDocument/2006/relationships/hyperlink" Target="https://genshin.aspirine.su/" TargetMode="External"/><Relationship Id="rId22" Type="http://schemas.openxmlformats.org/officeDocument/2006/relationships/hyperlink" Target="https://genshin.aspirine.su/" TargetMode="External"/><Relationship Id="rId21" Type="http://schemas.openxmlformats.org/officeDocument/2006/relationships/hyperlink" Target="https://docs.google.com/spreadsheets/d/1tQEtcyNSCUvAUCHkOa9tjnCyLDEPwCmCPRK8Xtn78FM/edit?gid=2016792056" TargetMode="External"/><Relationship Id="rId24" Type="http://schemas.openxmlformats.org/officeDocument/2006/relationships/hyperlink" Target="https://genshin.aspirine.su/" TargetMode="External"/><Relationship Id="rId23" Type="http://schemas.openxmlformats.org/officeDocument/2006/relationships/hyperlink" Target="https://genshin.aspirine.su/" TargetMode="External"/><Relationship Id="rId26" Type="http://schemas.openxmlformats.org/officeDocument/2006/relationships/hyperlink" Target="https://genshin.aspirine.su/" TargetMode="External"/><Relationship Id="rId25" Type="http://schemas.openxmlformats.org/officeDocument/2006/relationships/hyperlink" Target="https://genshin.aspirine.su/" TargetMode="External"/><Relationship Id="rId28" Type="http://schemas.openxmlformats.org/officeDocument/2006/relationships/hyperlink" Target="https://genshin.aspirine.su/" TargetMode="External"/><Relationship Id="rId27" Type="http://schemas.openxmlformats.org/officeDocument/2006/relationships/hyperlink" Target="https://genshin.aspirine.su/" TargetMode="External"/><Relationship Id="rId29" Type="http://schemas.openxmlformats.org/officeDocument/2006/relationships/hyperlink" Target="https://genshin.aspirine.su/" TargetMode="External"/><Relationship Id="rId11" Type="http://schemas.openxmlformats.org/officeDocument/2006/relationships/hyperlink" Target="https://genshin.aspirine.su/" TargetMode="External"/><Relationship Id="rId10" Type="http://schemas.openxmlformats.org/officeDocument/2006/relationships/hyperlink" Target="https://genshin.aspirine.su/" TargetMode="External"/><Relationship Id="rId13" Type="http://schemas.openxmlformats.org/officeDocument/2006/relationships/hyperlink" Target="https://genshin.aspirine.su/" TargetMode="External"/><Relationship Id="rId12" Type="http://schemas.openxmlformats.org/officeDocument/2006/relationships/hyperlink" Target="https://genshin.aspirine.su/" TargetMode="External"/><Relationship Id="rId15" Type="http://schemas.openxmlformats.org/officeDocument/2006/relationships/hyperlink" Target="https://genshin.aspirine.su/" TargetMode="External"/><Relationship Id="rId14" Type="http://schemas.openxmlformats.org/officeDocument/2006/relationships/hyperlink" Target="https://genshin.aspirine.su/" TargetMode="External"/><Relationship Id="rId17" Type="http://schemas.openxmlformats.org/officeDocument/2006/relationships/hyperlink" Target="https://genshin.aspirine.su/" TargetMode="External"/><Relationship Id="rId16" Type="http://schemas.openxmlformats.org/officeDocument/2006/relationships/hyperlink" Target="https://genshin.aspirine.su/" TargetMode="External"/><Relationship Id="rId19" Type="http://schemas.openxmlformats.org/officeDocument/2006/relationships/hyperlink" Target="https://genshin.aspirine.su/" TargetMode="External"/><Relationship Id="rId18" Type="http://schemas.openxmlformats.org/officeDocument/2006/relationships/hyperlink" Target="https://genshin.aspirine.su/" TargetMode="External"/><Relationship Id="rId1" Type="http://schemas.openxmlformats.org/officeDocument/2006/relationships/comments" Target="../comments5.xml"/><Relationship Id="rId2" Type="http://schemas.openxmlformats.org/officeDocument/2006/relationships/hyperlink" Target="https://genshin.aspirine.su/" TargetMode="External"/><Relationship Id="rId3" Type="http://schemas.openxmlformats.org/officeDocument/2006/relationships/hyperlink" Target="https://genshin.aspirine.su/" TargetMode="External"/><Relationship Id="rId4" Type="http://schemas.openxmlformats.org/officeDocument/2006/relationships/hyperlink" Target="https://genshin.aspirine.su/" TargetMode="External"/><Relationship Id="rId9" Type="http://schemas.openxmlformats.org/officeDocument/2006/relationships/hyperlink" Target="https://genshin.aspirine.su/" TargetMode="External"/><Relationship Id="rId5" Type="http://schemas.openxmlformats.org/officeDocument/2006/relationships/hyperlink" Target="https://genshin.aspirine.su/" TargetMode="External"/><Relationship Id="rId6" Type="http://schemas.openxmlformats.org/officeDocument/2006/relationships/hyperlink" Target="https://genshin.aspirine.su/" TargetMode="External"/><Relationship Id="rId7" Type="http://schemas.openxmlformats.org/officeDocument/2006/relationships/hyperlink" Target="https://genshin.aspirine.su/" TargetMode="External"/><Relationship Id="rId8" Type="http://schemas.openxmlformats.org/officeDocument/2006/relationships/hyperlink" Target="https://genshin.aspirine.su/" TargetMode="External"/><Relationship Id="rId62" Type="http://schemas.openxmlformats.org/officeDocument/2006/relationships/hyperlink" Target="https://genshin.aspirine.su/" TargetMode="External"/><Relationship Id="rId61" Type="http://schemas.openxmlformats.org/officeDocument/2006/relationships/hyperlink" Target="https://genshin.aspirine.su/" TargetMode="External"/><Relationship Id="rId64" Type="http://schemas.openxmlformats.org/officeDocument/2006/relationships/hyperlink" Target="https://docs.google.com/spreadsheets/d/1tQEtcyNSCUvAUCHkOa9tjnCyLDEPwCmCPRK8Xtn78FM/edit?gid=326467335" TargetMode="External"/><Relationship Id="rId63" Type="http://schemas.openxmlformats.org/officeDocument/2006/relationships/hyperlink" Target="https://genshin.aspirine.su/" TargetMode="External"/><Relationship Id="rId66" Type="http://schemas.openxmlformats.org/officeDocument/2006/relationships/drawing" Target="../drawings/drawing5.xml"/><Relationship Id="rId65" Type="http://schemas.openxmlformats.org/officeDocument/2006/relationships/hyperlink" Target="https://docs.google.com/spreadsheets/d/1tQEtcyNSCUvAUCHkOa9tjnCyLDEPwCmCPRK8Xtn78FM/edit?gid=1953855719" TargetMode="External"/><Relationship Id="rId67" Type="http://schemas.openxmlformats.org/officeDocument/2006/relationships/vmlDrawing" Target="../drawings/vmlDrawing5.vml"/><Relationship Id="rId60" Type="http://schemas.openxmlformats.org/officeDocument/2006/relationships/hyperlink" Target="https://genshin.aspirine.su/" TargetMode="External"/><Relationship Id="rId51" Type="http://schemas.openxmlformats.org/officeDocument/2006/relationships/hyperlink" Target="https://genshin.aspirine.su/" TargetMode="External"/><Relationship Id="rId50" Type="http://schemas.openxmlformats.org/officeDocument/2006/relationships/hyperlink" Target="https://genshin.aspirine.su/" TargetMode="External"/><Relationship Id="rId53" Type="http://schemas.openxmlformats.org/officeDocument/2006/relationships/hyperlink" Target="https://genshin.aspirine.su/" TargetMode="External"/><Relationship Id="rId52" Type="http://schemas.openxmlformats.org/officeDocument/2006/relationships/hyperlink" Target="https://genshin.aspirine.su/" TargetMode="External"/><Relationship Id="rId55" Type="http://schemas.openxmlformats.org/officeDocument/2006/relationships/hyperlink" Target="https://genshin.aspirine.su/" TargetMode="External"/><Relationship Id="rId54" Type="http://schemas.openxmlformats.org/officeDocument/2006/relationships/hyperlink" Target="https://genshin.aspirine.su/" TargetMode="External"/><Relationship Id="rId57" Type="http://schemas.openxmlformats.org/officeDocument/2006/relationships/hyperlink" Target="https://genshin.aspirine.su/" TargetMode="External"/><Relationship Id="rId56" Type="http://schemas.openxmlformats.org/officeDocument/2006/relationships/hyperlink" Target="https://genshin.aspirine.su/" TargetMode="External"/><Relationship Id="rId59" Type="http://schemas.openxmlformats.org/officeDocument/2006/relationships/hyperlink" Target="https://genshin.aspirine.su/" TargetMode="External"/><Relationship Id="rId58" Type="http://schemas.openxmlformats.org/officeDocument/2006/relationships/hyperlink" Target="https://docs.google.com/spreadsheets/d/1tQEtcyNSCUvAUCHkOa9tjnCyLDEPwCmCPRK8Xtn78FM/edit?gid=1177698765"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 Id="rId5"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1" Type="http://schemas.openxmlformats.org/officeDocument/2006/relationships/table" Target="../tables/table7.xml"/><Relationship Id="rId10" Type="http://schemas.openxmlformats.org/officeDocument/2006/relationships/table" Target="../tables/table6.xml"/><Relationship Id="rId13" Type="http://schemas.openxmlformats.org/officeDocument/2006/relationships/table" Target="../tables/table9.xml"/><Relationship Id="rId12" Type="http://schemas.openxmlformats.org/officeDocument/2006/relationships/table" Target="../tables/table8.xml"/><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 Id="rId9"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0" Type="http://schemas.openxmlformats.org/officeDocument/2006/relationships/hyperlink" Target="https://docs.google.com/spreadsheets/d/1tQEtcyNSCUvAUCHkOa9tjnCyLDEPwCmCPRK8Xtn78FM/edit?gid=1092992478" TargetMode="External"/><Relationship Id="rId22" Type="http://schemas.openxmlformats.org/officeDocument/2006/relationships/hyperlink" Target="https://docs.google.com/spreadsheets/d/1tQEtcyNSCUvAUCHkOa9tjnCyLDEPwCmCPRK8Xtn78FM/edit?gid=1177698765" TargetMode="External"/><Relationship Id="rId21" Type="http://schemas.openxmlformats.org/officeDocument/2006/relationships/hyperlink" Target="https://docs.google.com/spreadsheets/d/1tQEtcyNSCUvAUCHkOa9tjnCyLDEPwCmCPRK8Xtn78FM/edit?gid=926341684" TargetMode="External"/><Relationship Id="rId23" Type="http://schemas.openxmlformats.org/officeDocument/2006/relationships/drawing" Target="../drawings/drawing13.xml"/><Relationship Id="rId11" Type="http://schemas.openxmlformats.org/officeDocument/2006/relationships/hyperlink" Target="https://docs.google.com/spreadsheets/d/1tQEtcyNSCUvAUCHkOa9tjnCyLDEPwCmCPRK8Xtn78FM/edit?gid=1015121446" TargetMode="External"/><Relationship Id="rId10" Type="http://schemas.openxmlformats.org/officeDocument/2006/relationships/hyperlink" Target="https://docs.google.com/spreadsheets/d/1tQEtcyNSCUvAUCHkOa9tjnCyLDEPwCmCPRK8Xtn78FM/edit?gid=1770781884" TargetMode="External"/><Relationship Id="rId13" Type="http://schemas.openxmlformats.org/officeDocument/2006/relationships/hyperlink" Target="https://docs.google.com/spreadsheets/d/1tQEtcyNSCUvAUCHkOa9tjnCyLDEPwCmCPRK8Xtn78FM/edit?gid=222219902" TargetMode="External"/><Relationship Id="rId12" Type="http://schemas.openxmlformats.org/officeDocument/2006/relationships/hyperlink" Target="https://docs.google.com/spreadsheets/d/1tQEtcyNSCUvAUCHkOa9tjnCyLDEPwCmCPRK8Xtn78FM/edit?gid=1089293944" TargetMode="External"/><Relationship Id="rId15" Type="http://schemas.openxmlformats.org/officeDocument/2006/relationships/hyperlink" Target="https://docs.google.com/spreadsheets/d/1tQEtcyNSCUvAUCHkOa9tjnCyLDEPwCmCPRK8Xtn78FM/edit?gid=103343321" TargetMode="External"/><Relationship Id="rId14" Type="http://schemas.openxmlformats.org/officeDocument/2006/relationships/hyperlink" Target="https://docs.google.com/spreadsheets/d/1tQEtcyNSCUvAUCHkOa9tjnCyLDEPwCmCPRK8Xtn78FM/edit?gid=1392836589" TargetMode="External"/><Relationship Id="rId17" Type="http://schemas.openxmlformats.org/officeDocument/2006/relationships/hyperlink" Target="https://docs.google.com/spreadsheets/d/1tQEtcyNSCUvAUCHkOa9tjnCyLDEPwCmCPRK8Xtn78FM/edit?gid=982020803" TargetMode="External"/><Relationship Id="rId16" Type="http://schemas.openxmlformats.org/officeDocument/2006/relationships/hyperlink" Target="https://docs.google.com/spreadsheets/d/1tQEtcyNSCUvAUCHkOa9tjnCyLDEPwCmCPRK8Xtn78FM/edit?gid=1871247285" TargetMode="External"/><Relationship Id="rId19" Type="http://schemas.openxmlformats.org/officeDocument/2006/relationships/hyperlink" Target="https://docs.google.com/spreadsheets/d/1tQEtcyNSCUvAUCHkOa9tjnCyLDEPwCmCPRK8Xtn78FM/edit?gid=1318012595" TargetMode="External"/><Relationship Id="rId18" Type="http://schemas.openxmlformats.org/officeDocument/2006/relationships/hyperlink" Target="https://docs.google.com/spreadsheets/d/1tQEtcyNSCUvAUCHkOa9tjnCyLDEPwCmCPRK8Xtn78FM/edit?gid=639377153" TargetMode="External"/><Relationship Id="rId1" Type="http://schemas.openxmlformats.org/officeDocument/2006/relationships/hyperlink" Target="https://docs.google.com/spreadsheets/d/1tQEtcyNSCUvAUCHkOa9tjnCyLDEPwCmCPRK8Xtn78FM/edit?gid=81578061" TargetMode="External"/><Relationship Id="rId2" Type="http://schemas.openxmlformats.org/officeDocument/2006/relationships/hyperlink" Target="https://docs.google.com/spreadsheets/d/1tQEtcyNSCUvAUCHkOa9tjnCyLDEPwCmCPRK8Xtn78FM/edit?gid=2009091628" TargetMode="External"/><Relationship Id="rId3" Type="http://schemas.openxmlformats.org/officeDocument/2006/relationships/hyperlink" Target="https://docs.google.com/spreadsheets/d/1tQEtcyNSCUvAUCHkOa9tjnCyLDEPwCmCPRK8Xtn78FM/edit?gid=1706134817" TargetMode="External"/><Relationship Id="rId4" Type="http://schemas.openxmlformats.org/officeDocument/2006/relationships/hyperlink" Target="https://docs.google.com/spreadsheets/d/1tQEtcyNSCUvAUCHkOa9tjnCyLDEPwCmCPRK8Xtn78FM/edit?gid=906865443" TargetMode="External"/><Relationship Id="rId9" Type="http://schemas.openxmlformats.org/officeDocument/2006/relationships/hyperlink" Target="https://docs.google.com/spreadsheets/d/1tQEtcyNSCUvAUCHkOa9tjnCyLDEPwCmCPRK8Xtn78FM/edit?gid=776547770" TargetMode="External"/><Relationship Id="rId5" Type="http://schemas.openxmlformats.org/officeDocument/2006/relationships/hyperlink" Target="https://docs.google.com/spreadsheets/d/1tQEtcyNSCUvAUCHkOa9tjnCyLDEPwCmCPRK8Xtn78FM/edit?gid=743542896" TargetMode="External"/><Relationship Id="rId6" Type="http://schemas.openxmlformats.org/officeDocument/2006/relationships/hyperlink" Target="https://docs.google.com/spreadsheets/d/1tQEtcyNSCUvAUCHkOa9tjnCyLDEPwCmCPRK8Xtn78FM/edit?gid=1637372952" TargetMode="External"/><Relationship Id="rId7" Type="http://schemas.openxmlformats.org/officeDocument/2006/relationships/hyperlink" Target="https://docs.google.com/spreadsheets/d/1tQEtcyNSCUvAUCHkOa9tjnCyLDEPwCmCPRK8Xtn78FM/edit?gid=1901931405" TargetMode="External"/><Relationship Id="rId8" Type="http://schemas.openxmlformats.org/officeDocument/2006/relationships/hyperlink" Target="https://docs.google.com/spreadsheets/d/1tQEtcyNSCUvAUCHkOa9tjnCyLDEPwCmCPRK8Xtn78FM/edit?gid=51376493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14.38"/>
    <col customWidth="1" min="4" max="4" width="12.0"/>
    <col customWidth="1" min="5" max="5" width="12.25"/>
    <col customWidth="1" min="13" max="13" width="6.5"/>
  </cols>
  <sheetData>
    <row r="1" ht="21.0" customHeight="1">
      <c r="A1" s="1" t="s">
        <v>0</v>
      </c>
      <c r="F1" s="2"/>
      <c r="G1" s="3" t="s">
        <v>1</v>
      </c>
      <c r="L1" s="2"/>
      <c r="M1" s="4" t="s">
        <v>2</v>
      </c>
    </row>
    <row r="2" ht="21.0" customHeight="1">
      <c r="G2" s="5" t="s">
        <v>3</v>
      </c>
    </row>
    <row r="3" ht="21.0" customHeight="1">
      <c r="A3" s="6"/>
      <c r="B3" s="7" t="s">
        <v>4</v>
      </c>
      <c r="M3" s="8">
        <v>1.0</v>
      </c>
      <c r="N3" s="9" t="s">
        <v>5</v>
      </c>
    </row>
    <row r="4" ht="21.0" customHeight="1">
      <c r="B4" s="7" t="s">
        <v>6</v>
      </c>
      <c r="G4" s="10"/>
      <c r="M4" s="8">
        <v>2.0</v>
      </c>
      <c r="N4" s="9" t="s">
        <v>7</v>
      </c>
    </row>
    <row r="5" ht="21.0" customHeight="1">
      <c r="B5" s="7" t="s">
        <v>8</v>
      </c>
      <c r="M5" s="8">
        <v>3.0</v>
      </c>
      <c r="N5" s="9" t="s">
        <v>9</v>
      </c>
    </row>
    <row r="6" ht="21.0" customHeight="1">
      <c r="B6" s="7" t="s">
        <v>10</v>
      </c>
      <c r="M6" s="8">
        <v>4.0</v>
      </c>
      <c r="N6" s="9" t="s">
        <v>11</v>
      </c>
    </row>
    <row r="7" ht="21.0" customHeight="1">
      <c r="A7" s="11" t="s">
        <v>12</v>
      </c>
      <c r="C7" s="12" t="s">
        <v>13</v>
      </c>
      <c r="M7" s="8">
        <v>5.0</v>
      </c>
      <c r="N7" s="9" t="s">
        <v>14</v>
      </c>
    </row>
    <row r="8" ht="21.0" customHeight="1">
      <c r="A8" s="11" t="s">
        <v>15</v>
      </c>
      <c r="C8" s="12" t="s">
        <v>16</v>
      </c>
      <c r="M8" s="8">
        <v>6.0</v>
      </c>
      <c r="N8" s="9" t="s">
        <v>14</v>
      </c>
    </row>
    <row r="9" ht="21.0" customHeight="1">
      <c r="A9" s="13" t="s">
        <v>17</v>
      </c>
      <c r="M9" s="8">
        <v>7.0</v>
      </c>
      <c r="N9" s="9" t="s">
        <v>14</v>
      </c>
    </row>
    <row r="10" ht="21.0" customHeight="1">
      <c r="A10" s="1" t="s">
        <v>18</v>
      </c>
      <c r="M10" s="8">
        <v>8.0</v>
      </c>
      <c r="N10" s="9" t="s">
        <v>14</v>
      </c>
    </row>
    <row r="11" ht="21.0" customHeight="1">
      <c r="M11" s="1" t="s">
        <v>19</v>
      </c>
    </row>
    <row r="12" ht="21.0" customHeight="1">
      <c r="A12" s="14" t="s">
        <v>20</v>
      </c>
      <c r="D12" s="15"/>
    </row>
    <row r="13" ht="21.0" customHeight="1">
      <c r="A13" s="14" t="s">
        <v>21</v>
      </c>
      <c r="M13" s="16" t="s">
        <v>22</v>
      </c>
      <c r="N13" s="17" t="s">
        <v>23</v>
      </c>
    </row>
    <row r="14" ht="21.0" customHeight="1">
      <c r="A14" s="14" t="s">
        <v>24</v>
      </c>
      <c r="M14" s="18" t="s">
        <v>25</v>
      </c>
      <c r="N14" s="19" t="s">
        <v>26</v>
      </c>
    </row>
    <row r="15" ht="21.0" customHeight="1">
      <c r="A15" s="14" t="s">
        <v>27</v>
      </c>
      <c r="G15" s="2"/>
      <c r="M15" s="18" t="s">
        <v>28</v>
      </c>
      <c r="N15" s="19" t="s">
        <v>29</v>
      </c>
    </row>
    <row r="16" ht="21.0" customHeight="1">
      <c r="A16" s="14" t="s">
        <v>30</v>
      </c>
      <c r="M16" s="20"/>
      <c r="N16" s="20"/>
    </row>
    <row r="17" ht="21.0" customHeight="1">
      <c r="A17" s="14" t="s">
        <v>31</v>
      </c>
      <c r="G17" s="3" t="s">
        <v>32</v>
      </c>
      <c r="M17" s="21">
        <v>45658.0</v>
      </c>
      <c r="N17" s="19" t="s">
        <v>33</v>
      </c>
    </row>
    <row r="18" ht="21.0" customHeight="1">
      <c r="A18" s="22" t="s">
        <v>34</v>
      </c>
      <c r="C18" s="23" t="s">
        <v>35</v>
      </c>
      <c r="G18" s="24" t="s">
        <v>36</v>
      </c>
      <c r="M18" s="18" t="s">
        <v>28</v>
      </c>
      <c r="N18" s="19" t="s">
        <v>37</v>
      </c>
    </row>
    <row r="19" ht="21.0" customHeight="1">
      <c r="A19" s="25"/>
      <c r="B19" s="14" t="s">
        <v>38</v>
      </c>
      <c r="M19" s="20"/>
      <c r="N19" s="20"/>
    </row>
    <row r="20" ht="21.0" customHeight="1">
      <c r="B20" s="26" t="s">
        <v>39</v>
      </c>
      <c r="G20" s="27"/>
      <c r="M20" s="21">
        <v>45689.0</v>
      </c>
      <c r="N20" s="19" t="s">
        <v>40</v>
      </c>
    </row>
    <row r="21" ht="21.0" customHeight="1">
      <c r="B21" s="26" t="s">
        <v>41</v>
      </c>
      <c r="M21" s="18" t="s">
        <v>28</v>
      </c>
      <c r="N21" s="19" t="s">
        <v>5</v>
      </c>
    </row>
    <row r="22" ht="21.0" customHeight="1">
      <c r="B22" s="26" t="s">
        <v>42</v>
      </c>
      <c r="M22" s="28"/>
      <c r="N22" s="28"/>
    </row>
    <row r="23" ht="21.0" customHeight="1">
      <c r="A23" s="25"/>
      <c r="D23" s="26" t="s">
        <v>43</v>
      </c>
      <c r="M23" s="21">
        <v>45717.0</v>
      </c>
      <c r="N23" s="19" t="s">
        <v>44</v>
      </c>
    </row>
    <row r="24" ht="21.0" customHeight="1">
      <c r="D24" s="26" t="s">
        <v>45</v>
      </c>
      <c r="M24" s="18" t="s">
        <v>28</v>
      </c>
      <c r="N24" s="19" t="s">
        <v>5</v>
      </c>
    </row>
    <row r="25" ht="21.0" customHeight="1">
      <c r="D25" s="26" t="s">
        <v>46</v>
      </c>
      <c r="M25" s="28"/>
      <c r="N25" s="28"/>
    </row>
    <row r="26" ht="21.0" customHeight="1">
      <c r="D26" s="25"/>
      <c r="M26" s="21">
        <v>45748.0</v>
      </c>
      <c r="N26" s="19" t="s">
        <v>47</v>
      </c>
    </row>
    <row r="27" ht="21.0" customHeight="1">
      <c r="A27" s="29" t="s">
        <v>48</v>
      </c>
      <c r="M27" s="18" t="s">
        <v>28</v>
      </c>
      <c r="N27" s="19" t="s">
        <v>5</v>
      </c>
    </row>
    <row r="28" ht="21.0" customHeight="1">
      <c r="A28" s="30" t="s">
        <v>49</v>
      </c>
      <c r="M28" s="28"/>
      <c r="N28" s="28"/>
    </row>
    <row r="29" ht="21.0" customHeight="1">
      <c r="M29" s="21">
        <v>45778.0</v>
      </c>
      <c r="N29" s="19" t="s">
        <v>50</v>
      </c>
    </row>
    <row r="30" ht="21.0" customHeight="1">
      <c r="A30" s="31" t="s">
        <v>51</v>
      </c>
      <c r="D30" s="15"/>
      <c r="M30" s="18" t="s">
        <v>28</v>
      </c>
      <c r="N30" s="19" t="s">
        <v>52</v>
      </c>
    </row>
    <row r="31" ht="21.0" customHeight="1">
      <c r="A31" s="31" t="s">
        <v>53</v>
      </c>
      <c r="G31" s="32" t="s">
        <v>54</v>
      </c>
      <c r="M31" s="28"/>
      <c r="N31" s="28"/>
    </row>
    <row r="32" ht="21.0" customHeight="1">
      <c r="A32" s="31" t="s">
        <v>55</v>
      </c>
      <c r="M32" s="21">
        <v>45809.0</v>
      </c>
      <c r="N32" s="19" t="s">
        <v>56</v>
      </c>
    </row>
    <row r="33" ht="21.0" customHeight="1">
      <c r="A33" s="31" t="s">
        <v>57</v>
      </c>
      <c r="G33" s="33" t="s">
        <v>58</v>
      </c>
      <c r="M33" s="18" t="s">
        <v>59</v>
      </c>
      <c r="N33" s="19" t="s">
        <v>60</v>
      </c>
    </row>
    <row r="34" ht="21.0" customHeight="1">
      <c r="A34" s="31" t="s">
        <v>61</v>
      </c>
      <c r="G34" s="34" t="s">
        <v>62</v>
      </c>
      <c r="M34" s="28"/>
      <c r="N34" s="35"/>
    </row>
    <row r="35" ht="21.0" customHeight="1">
      <c r="A35" s="31" t="s">
        <v>63</v>
      </c>
      <c r="G35" s="33" t="s">
        <v>64</v>
      </c>
      <c r="M35" s="28"/>
      <c r="N35" s="36"/>
    </row>
    <row r="36" ht="21.0" customHeight="1">
      <c r="A36" s="31" t="s">
        <v>65</v>
      </c>
      <c r="G36" s="34" t="s">
        <v>66</v>
      </c>
      <c r="M36" s="28"/>
      <c r="N36" s="36"/>
    </row>
    <row r="37" ht="21.0" customHeight="1">
      <c r="A37" s="2"/>
      <c r="M37" s="28"/>
      <c r="N37" s="35"/>
    </row>
    <row r="38" ht="21.0" customHeight="1">
      <c r="M38" s="28"/>
      <c r="N38" s="36"/>
    </row>
    <row r="39" ht="21.0" customHeight="1">
      <c r="M39" s="28"/>
      <c r="N39" s="36"/>
    </row>
    <row r="40" ht="21.0" customHeight="1">
      <c r="M40" s="28"/>
      <c r="N40" s="35"/>
    </row>
    <row r="41" ht="21.0" customHeight="1">
      <c r="M41" s="28"/>
      <c r="N41" s="36"/>
    </row>
    <row r="42" ht="21.0" customHeight="1">
      <c r="M42" s="28"/>
      <c r="N42" s="36"/>
    </row>
    <row r="43" ht="21.0" customHeight="1">
      <c r="M43" s="28"/>
      <c r="N43" s="35"/>
    </row>
    <row r="44" ht="21.0" customHeight="1">
      <c r="M44" s="28"/>
      <c r="N44" s="36"/>
    </row>
    <row r="45" ht="21.0" customHeight="1">
      <c r="M45" s="28"/>
      <c r="N45" s="36"/>
    </row>
    <row r="46" ht="21.0" customHeight="1">
      <c r="M46" s="28"/>
      <c r="N46" s="35"/>
    </row>
    <row r="47" ht="21.0" customHeight="1">
      <c r="M47" s="28"/>
      <c r="N47" s="36"/>
    </row>
    <row r="48" ht="21.0" customHeight="1">
      <c r="M48" s="28"/>
      <c r="N48" s="36"/>
    </row>
    <row r="49" ht="21.0" customHeight="1">
      <c r="M49" s="28"/>
      <c r="N49" s="35"/>
    </row>
    <row r="50" ht="21.0" customHeight="1">
      <c r="M50" s="28"/>
      <c r="N50" s="36"/>
    </row>
    <row r="51" ht="21.0" customHeight="1">
      <c r="M51" s="28"/>
      <c r="N51" s="36"/>
    </row>
    <row r="52" ht="21.0" customHeight="1">
      <c r="M52" s="28"/>
      <c r="N52" s="28"/>
    </row>
    <row r="53" ht="21.0" customHeight="1">
      <c r="M53" s="28"/>
      <c r="N53" s="37"/>
    </row>
    <row r="54" ht="21.0" customHeight="1">
      <c r="M54" s="28"/>
      <c r="N54" s="37"/>
    </row>
    <row r="55" ht="21.0" customHeight="1">
      <c r="M55" s="28"/>
      <c r="N55" s="37"/>
    </row>
    <row r="56" ht="21.0" customHeight="1">
      <c r="M56" s="28"/>
      <c r="N56" s="28"/>
    </row>
  </sheetData>
  <mergeCells count="109">
    <mergeCell ref="N17:R17"/>
    <mergeCell ref="N18:R18"/>
    <mergeCell ref="N19:R19"/>
    <mergeCell ref="N20:R20"/>
    <mergeCell ref="N21:R21"/>
    <mergeCell ref="N22:R22"/>
    <mergeCell ref="N23:R23"/>
    <mergeCell ref="N24:R24"/>
    <mergeCell ref="N25:R25"/>
    <mergeCell ref="N26:R26"/>
    <mergeCell ref="N27:R27"/>
    <mergeCell ref="N28:R28"/>
    <mergeCell ref="N29:R29"/>
    <mergeCell ref="N30:R30"/>
    <mergeCell ref="N31:R31"/>
    <mergeCell ref="N32:R32"/>
    <mergeCell ref="N33:R33"/>
    <mergeCell ref="N34:R34"/>
    <mergeCell ref="N35:R35"/>
    <mergeCell ref="N36:R36"/>
    <mergeCell ref="N37:R37"/>
    <mergeCell ref="N38:R38"/>
    <mergeCell ref="N39:R39"/>
    <mergeCell ref="N40:R40"/>
    <mergeCell ref="N41:R41"/>
    <mergeCell ref="N42:R42"/>
    <mergeCell ref="N43:R43"/>
    <mergeCell ref="N44:R44"/>
    <mergeCell ref="N52:R52"/>
    <mergeCell ref="N53:R53"/>
    <mergeCell ref="N54:R54"/>
    <mergeCell ref="N55:R55"/>
    <mergeCell ref="N56:R56"/>
    <mergeCell ref="N45:R45"/>
    <mergeCell ref="N46:R46"/>
    <mergeCell ref="N47:R47"/>
    <mergeCell ref="N48:R48"/>
    <mergeCell ref="N49:R49"/>
    <mergeCell ref="N50:R50"/>
    <mergeCell ref="N51:R51"/>
    <mergeCell ref="B5:E5"/>
    <mergeCell ref="B6:E6"/>
    <mergeCell ref="A7:B7"/>
    <mergeCell ref="C7:E7"/>
    <mergeCell ref="A8:B8"/>
    <mergeCell ref="C8:E8"/>
    <mergeCell ref="A9:E9"/>
    <mergeCell ref="A10:E11"/>
    <mergeCell ref="M1:R2"/>
    <mergeCell ref="N3:R3"/>
    <mergeCell ref="N4:R4"/>
    <mergeCell ref="N5:R5"/>
    <mergeCell ref="N6:R6"/>
    <mergeCell ref="N7:R7"/>
    <mergeCell ref="N8:R8"/>
    <mergeCell ref="A12:C12"/>
    <mergeCell ref="D12:E18"/>
    <mergeCell ref="N9:R9"/>
    <mergeCell ref="N10:R10"/>
    <mergeCell ref="M11:R12"/>
    <mergeCell ref="N13:R13"/>
    <mergeCell ref="N14:R14"/>
    <mergeCell ref="N15:R15"/>
    <mergeCell ref="N16:R16"/>
    <mergeCell ref="G20:K30"/>
    <mergeCell ref="A23:C26"/>
    <mergeCell ref="D23:E23"/>
    <mergeCell ref="D24:E24"/>
    <mergeCell ref="D25:E25"/>
    <mergeCell ref="D26:E26"/>
    <mergeCell ref="A27:E27"/>
    <mergeCell ref="D30:E36"/>
    <mergeCell ref="A31:C31"/>
    <mergeCell ref="A32:C32"/>
    <mergeCell ref="A33:C33"/>
    <mergeCell ref="A34:C34"/>
    <mergeCell ref="A35:C35"/>
    <mergeCell ref="A36:C36"/>
    <mergeCell ref="G31:K32"/>
    <mergeCell ref="G33:K33"/>
    <mergeCell ref="G34:K34"/>
    <mergeCell ref="G35:K35"/>
    <mergeCell ref="G36:K36"/>
    <mergeCell ref="A37:L56"/>
    <mergeCell ref="A1:E2"/>
    <mergeCell ref="F1:F36"/>
    <mergeCell ref="G1:K1"/>
    <mergeCell ref="L1:L36"/>
    <mergeCell ref="A3:A6"/>
    <mergeCell ref="B3:E3"/>
    <mergeCell ref="B4:E4"/>
    <mergeCell ref="G2:K3"/>
    <mergeCell ref="G4:K14"/>
    <mergeCell ref="A13:C13"/>
    <mergeCell ref="A14:C14"/>
    <mergeCell ref="A15:C15"/>
    <mergeCell ref="G15:K16"/>
    <mergeCell ref="A16:C16"/>
    <mergeCell ref="A17:C17"/>
    <mergeCell ref="G17:K17"/>
    <mergeCell ref="A18:B18"/>
    <mergeCell ref="G18:K19"/>
    <mergeCell ref="B19:E19"/>
    <mergeCell ref="A19:A22"/>
    <mergeCell ref="B20:E20"/>
    <mergeCell ref="B21:E21"/>
    <mergeCell ref="B22:E22"/>
    <mergeCell ref="A28:E29"/>
    <mergeCell ref="A30:C30"/>
  </mergeCells>
  <hyperlinks>
    <hyperlink r:id="rId2" ref="G2"/>
    <hyperlink r:id="rId3" ref="C7"/>
    <hyperlink r:id="rId4" ref="C8"/>
    <hyperlink r:id="rId5" ref="C18"/>
    <hyperlink r:id="rId6" ref="G18"/>
    <hyperlink r:id="rId7" ref="A27"/>
    <hyperlink display="ЭФФЕКТИВНОСТЬ" location="'ЭФФЕКТИВНОСТЬ'!A1" ref="A30"/>
    <hyperlink display="СОЗВЕЗДИЯ" location="'СОЗВЕЗДИЯ'!A1" ref="A31"/>
    <hyperlink display="КАЛЬКУЛЯТОР" location="'КАЛЬКУЛЯТОР'!A1" ref="A32"/>
    <hyperlink display="DPS \ DPM" location="'ДПСДПМ'!A1" ref="A33"/>
    <hyperlink r:id="rId8" ref="G33"/>
    <hyperlink display="ЛИМИТЫ" location="'ЛИМИТЫ'!A1" ref="A34"/>
    <hyperlink display="АРТЕФАКТЫ" location="'АРТЕФАКТЫ'!A1" ref="A35"/>
    <hyperlink r:id="rId9" ref="G35"/>
    <hyperlink display="ОРУЖИЕ" location="'ОРУЖИЕ'!A1" ref="A36"/>
  </hyperlinks>
  <drawing r:id="rId10"/>
  <legacy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4.5"/>
    <col customWidth="1" min="2" max="2" width="13.38"/>
    <col customWidth="1" min="3" max="3" width="13.0"/>
    <col customWidth="1" min="4" max="4" width="15.0"/>
    <col customWidth="1" min="5" max="5" width="16.5"/>
    <col customWidth="1" min="6" max="6" width="2.63"/>
    <col customWidth="1" min="7" max="7" width="10.0"/>
    <col customWidth="1" min="8" max="8" width="3.13"/>
    <col customWidth="1" min="9" max="9" width="21.63"/>
    <col customWidth="1" min="10" max="10" width="3.13"/>
    <col customWidth="1" min="11" max="11" width="13.38"/>
    <col customWidth="1" min="12" max="12" width="2.63"/>
    <col customWidth="1" min="13" max="13" width="11.63"/>
    <col customWidth="1" min="14" max="14" width="23.25"/>
    <col customWidth="1" min="15" max="15" width="12.63"/>
    <col customWidth="1" min="16" max="16" width="6.63"/>
    <col customWidth="1" min="17" max="17" width="15.13"/>
    <col customWidth="1" min="18" max="18" width="13.63"/>
    <col customWidth="1" min="19" max="19" width="12.0"/>
    <col customWidth="1" min="20" max="20" width="15.38"/>
    <col customWidth="1" min="21" max="21" width="13.0"/>
    <col customWidth="1" min="22" max="22" width="12.38"/>
    <col customWidth="1" min="23" max="23" width="13.63"/>
    <col customWidth="1" min="24" max="24" width="17.75"/>
  </cols>
  <sheetData>
    <row r="1" ht="22.5" customHeight="1">
      <c r="A1" s="38" t="s">
        <v>67</v>
      </c>
      <c r="B1" s="39" t="s">
        <v>68</v>
      </c>
      <c r="C1" s="39" t="s">
        <v>69</v>
      </c>
      <c r="D1" s="40" t="s">
        <v>65</v>
      </c>
      <c r="E1" s="39" t="s">
        <v>70</v>
      </c>
      <c r="F1" s="41" t="s">
        <v>71</v>
      </c>
      <c r="G1" s="42" t="s">
        <v>72</v>
      </c>
      <c r="H1" s="43" t="s">
        <v>73</v>
      </c>
      <c r="I1" s="38" t="s">
        <v>74</v>
      </c>
      <c r="J1" s="41" t="s">
        <v>75</v>
      </c>
      <c r="K1" s="38" t="s">
        <v>76</v>
      </c>
      <c r="L1" s="44" t="s">
        <v>77</v>
      </c>
      <c r="M1" s="41" t="s">
        <v>78</v>
      </c>
      <c r="N1" s="45" t="s">
        <v>79</v>
      </c>
      <c r="O1" s="39" t="s">
        <v>80</v>
      </c>
      <c r="P1" s="44" t="s">
        <v>81</v>
      </c>
      <c r="Q1" s="46" t="s">
        <v>82</v>
      </c>
      <c r="R1" s="46" t="s">
        <v>83</v>
      </c>
      <c r="S1" s="46" t="s">
        <v>84</v>
      </c>
      <c r="T1" s="46" t="s">
        <v>85</v>
      </c>
      <c r="U1" s="46" t="s">
        <v>86</v>
      </c>
      <c r="V1" s="46" t="s">
        <v>87</v>
      </c>
      <c r="W1" s="46" t="s">
        <v>88</v>
      </c>
      <c r="X1" s="46" t="s">
        <v>89</v>
      </c>
    </row>
    <row r="2" ht="22.5" customHeight="1">
      <c r="A2" s="47" t="s">
        <v>90</v>
      </c>
      <c r="B2" s="48" t="s">
        <v>91</v>
      </c>
      <c r="C2" s="49" t="s">
        <v>92</v>
      </c>
      <c r="D2" s="50" t="s">
        <v>93</v>
      </c>
      <c r="E2" s="51">
        <v>2.7</v>
      </c>
      <c r="F2" s="52" t="s">
        <v>94</v>
      </c>
      <c r="G2" s="51">
        <v>5.2</v>
      </c>
      <c r="H2" s="53" t="s">
        <v>95</v>
      </c>
      <c r="I2" s="51" t="s">
        <v>14</v>
      </c>
      <c r="J2" s="52"/>
      <c r="K2" s="54">
        <v>576.0</v>
      </c>
      <c r="L2" s="52"/>
      <c r="M2" s="55" t="s">
        <v>96</v>
      </c>
      <c r="N2" s="56">
        <v>40.0</v>
      </c>
      <c r="O2" s="56">
        <v>99.0</v>
      </c>
      <c r="P2" s="57" t="s">
        <v>97</v>
      </c>
      <c r="Q2" s="58" t="s">
        <v>14</v>
      </c>
      <c r="R2" s="58" t="s">
        <v>14</v>
      </c>
      <c r="S2" s="59" t="s">
        <v>14</v>
      </c>
      <c r="T2" s="58" t="s">
        <v>98</v>
      </c>
      <c r="U2" s="58">
        <v>18.0</v>
      </c>
      <c r="V2" s="60">
        <v>68.25</v>
      </c>
      <c r="W2" s="60">
        <v>0.0</v>
      </c>
      <c r="X2" s="58" t="s">
        <v>99</v>
      </c>
    </row>
    <row r="3" ht="22.5" customHeight="1">
      <c r="A3" s="47" t="s">
        <v>100</v>
      </c>
      <c r="B3" s="47" t="s">
        <v>101</v>
      </c>
      <c r="C3" s="49" t="s">
        <v>92</v>
      </c>
      <c r="D3" s="50" t="s">
        <v>102</v>
      </c>
      <c r="E3" s="51">
        <v>2.8</v>
      </c>
      <c r="F3" s="52" t="s">
        <v>94</v>
      </c>
      <c r="G3" s="51">
        <v>4.2</v>
      </c>
      <c r="H3" s="53" t="s">
        <v>95</v>
      </c>
      <c r="I3" s="56">
        <v>23.0</v>
      </c>
      <c r="J3" s="52" t="s">
        <v>94</v>
      </c>
      <c r="K3" s="56">
        <v>34.0</v>
      </c>
      <c r="L3" s="52" t="s">
        <v>94</v>
      </c>
      <c r="M3" s="55" t="s">
        <v>103</v>
      </c>
      <c r="N3" s="51" t="s">
        <v>14</v>
      </c>
      <c r="O3" s="51" t="s">
        <v>14</v>
      </c>
      <c r="P3" s="57" t="s">
        <v>14</v>
      </c>
      <c r="Q3" s="58" t="s">
        <v>104</v>
      </c>
      <c r="R3" s="58" t="s">
        <v>14</v>
      </c>
      <c r="S3" s="59" t="s">
        <v>14</v>
      </c>
      <c r="T3" s="58" t="s">
        <v>105</v>
      </c>
      <c r="U3" s="58">
        <v>6.0</v>
      </c>
      <c r="V3" s="60">
        <v>41.5</v>
      </c>
      <c r="W3" s="60">
        <v>0.5</v>
      </c>
      <c r="X3" s="58" t="s">
        <v>106</v>
      </c>
    </row>
    <row r="4" ht="22.5" customHeight="1">
      <c r="A4" s="47" t="s">
        <v>90</v>
      </c>
      <c r="B4" s="47" t="s">
        <v>107</v>
      </c>
      <c r="C4" s="49" t="s">
        <v>92</v>
      </c>
      <c r="D4" s="50" t="s">
        <v>102</v>
      </c>
      <c r="E4" s="51">
        <v>2.5</v>
      </c>
      <c r="F4" s="52" t="s">
        <v>94</v>
      </c>
      <c r="G4" s="51">
        <v>4.3</v>
      </c>
      <c r="H4" s="53" t="s">
        <v>95</v>
      </c>
      <c r="I4" s="56">
        <v>20.0</v>
      </c>
      <c r="J4" s="52" t="s">
        <v>94</v>
      </c>
      <c r="K4" s="56">
        <v>36.0</v>
      </c>
      <c r="L4" s="52" t="s">
        <v>94</v>
      </c>
      <c r="M4" s="55" t="s">
        <v>108</v>
      </c>
      <c r="N4" s="51" t="s">
        <v>14</v>
      </c>
      <c r="O4" s="51" t="s">
        <v>14</v>
      </c>
      <c r="P4" s="57" t="s">
        <v>14</v>
      </c>
      <c r="Q4" s="58" t="s">
        <v>14</v>
      </c>
      <c r="R4" s="58">
        <v>90.0</v>
      </c>
      <c r="S4" s="59" t="s">
        <v>14</v>
      </c>
      <c r="T4" s="58" t="s">
        <v>109</v>
      </c>
      <c r="U4" s="58">
        <v>6.0</v>
      </c>
      <c r="V4" s="60">
        <v>63.75</v>
      </c>
      <c r="W4" s="60">
        <v>0.6</v>
      </c>
      <c r="X4" s="58" t="s">
        <v>110</v>
      </c>
    </row>
    <row r="5" ht="22.5" customHeight="1">
      <c r="A5" s="47" t="s">
        <v>100</v>
      </c>
      <c r="B5" s="48" t="s">
        <v>111</v>
      </c>
      <c r="C5" s="49" t="s">
        <v>92</v>
      </c>
      <c r="D5" s="50" t="s">
        <v>112</v>
      </c>
      <c r="E5" s="51">
        <v>3.0</v>
      </c>
      <c r="F5" s="52" t="s">
        <v>94</v>
      </c>
      <c r="G5" s="51">
        <v>12.0</v>
      </c>
      <c r="H5" s="53" t="s">
        <v>95</v>
      </c>
      <c r="I5" s="61">
        <v>206.0</v>
      </c>
      <c r="J5" s="52" t="s">
        <v>95</v>
      </c>
      <c r="K5" s="61">
        <v>304.0</v>
      </c>
      <c r="L5" s="52" t="s">
        <v>95</v>
      </c>
      <c r="M5" s="55" t="s">
        <v>96</v>
      </c>
      <c r="N5" s="51" t="s">
        <v>14</v>
      </c>
      <c r="O5" s="51" t="s">
        <v>14</v>
      </c>
      <c r="P5" s="57" t="s">
        <v>14</v>
      </c>
      <c r="Q5" s="58" t="s">
        <v>113</v>
      </c>
      <c r="R5" s="58">
        <v>32.0</v>
      </c>
      <c r="S5" s="59" t="s">
        <v>14</v>
      </c>
      <c r="T5" s="58">
        <v>4.0</v>
      </c>
      <c r="U5" s="58">
        <v>9.0</v>
      </c>
      <c r="V5" s="60">
        <v>29.25</v>
      </c>
      <c r="W5" s="60" t="s">
        <v>14</v>
      </c>
      <c r="X5" s="58" t="s">
        <v>114</v>
      </c>
    </row>
    <row r="6" ht="22.5" customHeight="1">
      <c r="A6" s="47" t="s">
        <v>90</v>
      </c>
      <c r="B6" s="47" t="s">
        <v>115</v>
      </c>
      <c r="C6" s="49" t="s">
        <v>92</v>
      </c>
      <c r="D6" s="50" t="s">
        <v>102</v>
      </c>
      <c r="E6" s="51">
        <v>3.4</v>
      </c>
      <c r="F6" s="52" t="s">
        <v>94</v>
      </c>
      <c r="G6" s="51">
        <v>4.2</v>
      </c>
      <c r="H6" s="53" t="s">
        <v>95</v>
      </c>
      <c r="I6" s="51" t="s">
        <v>14</v>
      </c>
      <c r="J6" s="52"/>
      <c r="K6" s="51" t="s">
        <v>14</v>
      </c>
      <c r="L6" s="52"/>
      <c r="M6" s="55" t="s">
        <v>14</v>
      </c>
      <c r="N6" s="56">
        <v>66.0</v>
      </c>
      <c r="O6" s="56">
        <v>97.0</v>
      </c>
      <c r="P6" s="57" t="s">
        <v>103</v>
      </c>
      <c r="Q6" s="58" t="s">
        <v>116</v>
      </c>
      <c r="R6" s="58" t="s">
        <v>14</v>
      </c>
      <c r="S6" s="59" t="s">
        <v>14</v>
      </c>
      <c r="T6" s="58" t="s">
        <v>117</v>
      </c>
      <c r="U6" s="58">
        <v>14.0</v>
      </c>
      <c r="V6" s="60">
        <v>70.5</v>
      </c>
      <c r="W6" s="60">
        <v>0.4</v>
      </c>
      <c r="X6" s="58" t="s">
        <v>118</v>
      </c>
    </row>
    <row r="7" ht="22.5" customHeight="1">
      <c r="A7" s="47" t="s">
        <v>100</v>
      </c>
      <c r="B7" s="48" t="s">
        <v>119</v>
      </c>
      <c r="C7" s="49" t="s">
        <v>92</v>
      </c>
      <c r="D7" s="50" t="s">
        <v>112</v>
      </c>
      <c r="E7" s="51">
        <v>3.1</v>
      </c>
      <c r="F7" s="52" t="s">
        <v>94</v>
      </c>
      <c r="G7" s="51">
        <v>4.5</v>
      </c>
      <c r="H7" s="53" t="s">
        <v>95</v>
      </c>
      <c r="I7" s="56">
        <v>44.0</v>
      </c>
      <c r="J7" s="52" t="s">
        <v>94</v>
      </c>
      <c r="K7" s="61">
        <v>270.0</v>
      </c>
      <c r="L7" s="52" t="s">
        <v>120</v>
      </c>
      <c r="M7" s="55" t="s">
        <v>96</v>
      </c>
      <c r="N7" s="51" t="s">
        <v>14</v>
      </c>
      <c r="O7" s="56">
        <v>250.0</v>
      </c>
      <c r="P7" s="57" t="s">
        <v>108</v>
      </c>
      <c r="Q7" s="58" t="s">
        <v>121</v>
      </c>
      <c r="R7" s="58" t="s">
        <v>14</v>
      </c>
      <c r="S7" s="59">
        <v>20.0</v>
      </c>
      <c r="T7" s="58">
        <v>6.0</v>
      </c>
      <c r="U7" s="58">
        <v>10.0</v>
      </c>
      <c r="V7" s="60">
        <v>66.75</v>
      </c>
      <c r="W7" s="60" t="s">
        <v>14</v>
      </c>
      <c r="X7" s="58" t="s">
        <v>122</v>
      </c>
    </row>
    <row r="8" ht="22.5" customHeight="1">
      <c r="A8" s="47" t="s">
        <v>100</v>
      </c>
      <c r="B8" s="47" t="s">
        <v>123</v>
      </c>
      <c r="C8" s="49" t="s">
        <v>92</v>
      </c>
      <c r="D8" s="50" t="s">
        <v>102</v>
      </c>
      <c r="E8" s="51">
        <v>3.2</v>
      </c>
      <c r="F8" s="52" t="s">
        <v>94</v>
      </c>
      <c r="G8" s="51">
        <v>10.2</v>
      </c>
      <c r="H8" s="53" t="s">
        <v>95</v>
      </c>
      <c r="I8" s="62" t="s">
        <v>14</v>
      </c>
      <c r="J8" s="52"/>
      <c r="K8" s="61">
        <v>236.0</v>
      </c>
      <c r="L8" s="52" t="s">
        <v>95</v>
      </c>
      <c r="M8" s="55" t="s">
        <v>96</v>
      </c>
      <c r="N8" s="56">
        <v>55.0</v>
      </c>
      <c r="O8" s="63">
        <v>200.0</v>
      </c>
      <c r="P8" s="57" t="s">
        <v>124</v>
      </c>
      <c r="Q8" s="58" t="s">
        <v>125</v>
      </c>
      <c r="R8" s="58">
        <v>11.0</v>
      </c>
      <c r="S8" s="59" t="s">
        <v>14</v>
      </c>
      <c r="T8" s="58">
        <v>8.0</v>
      </c>
      <c r="U8" s="58">
        <v>13.0</v>
      </c>
      <c r="V8" s="60">
        <v>68.75</v>
      </c>
      <c r="W8" s="60">
        <v>0.2</v>
      </c>
      <c r="X8" s="58" t="s">
        <v>126</v>
      </c>
    </row>
    <row r="9" ht="22.5" customHeight="1">
      <c r="A9" s="47" t="s">
        <v>90</v>
      </c>
      <c r="B9" s="48" t="s">
        <v>127</v>
      </c>
      <c r="C9" s="49" t="s">
        <v>92</v>
      </c>
      <c r="D9" s="50" t="s">
        <v>112</v>
      </c>
      <c r="E9" s="51">
        <v>5.1</v>
      </c>
      <c r="F9" s="52" t="s">
        <v>94</v>
      </c>
      <c r="G9" s="51">
        <v>12.0</v>
      </c>
      <c r="H9" s="53" t="s">
        <v>95</v>
      </c>
      <c r="I9" s="54">
        <v>55.0</v>
      </c>
      <c r="J9" s="52" t="s">
        <v>95</v>
      </c>
      <c r="K9" s="61">
        <v>194.0</v>
      </c>
      <c r="L9" s="52" t="s">
        <v>95</v>
      </c>
      <c r="M9" s="55" t="s">
        <v>96</v>
      </c>
      <c r="N9" s="51" t="s">
        <v>14</v>
      </c>
      <c r="O9" s="56">
        <v>38.0</v>
      </c>
      <c r="P9" s="57" t="s">
        <v>108</v>
      </c>
      <c r="Q9" s="58" t="s">
        <v>128</v>
      </c>
      <c r="R9" s="58">
        <v>21.0</v>
      </c>
      <c r="S9" s="59" t="s">
        <v>14</v>
      </c>
      <c r="T9" s="58">
        <v>4.0</v>
      </c>
      <c r="U9" s="58">
        <v>17.0</v>
      </c>
      <c r="V9" s="60">
        <v>39.5</v>
      </c>
      <c r="W9" s="60">
        <v>0.6</v>
      </c>
      <c r="X9" s="58" t="s">
        <v>122</v>
      </c>
    </row>
    <row r="10" ht="22.5" customHeight="1">
      <c r="A10" s="47" t="s">
        <v>100</v>
      </c>
      <c r="B10" s="47" t="s">
        <v>129</v>
      </c>
      <c r="C10" s="49" t="s">
        <v>92</v>
      </c>
      <c r="D10" s="50" t="s">
        <v>112</v>
      </c>
      <c r="E10" s="51">
        <v>3.0</v>
      </c>
      <c r="F10" s="52" t="s">
        <v>94</v>
      </c>
      <c r="G10" s="51">
        <v>4.3</v>
      </c>
      <c r="H10" s="53" t="s">
        <v>95</v>
      </c>
      <c r="I10" s="51" t="s">
        <v>14</v>
      </c>
      <c r="J10" s="52"/>
      <c r="K10" s="61">
        <v>106.0</v>
      </c>
      <c r="L10" s="52" t="s">
        <v>120</v>
      </c>
      <c r="M10" s="55" t="s">
        <v>96</v>
      </c>
      <c r="N10" s="56">
        <v>52.0</v>
      </c>
      <c r="O10" s="56">
        <v>64.0</v>
      </c>
      <c r="P10" s="57" t="s">
        <v>103</v>
      </c>
      <c r="Q10" s="58" t="s">
        <v>130</v>
      </c>
      <c r="R10" s="58" t="s">
        <v>14</v>
      </c>
      <c r="S10" s="59" t="s">
        <v>14</v>
      </c>
      <c r="T10" s="58" t="s">
        <v>131</v>
      </c>
      <c r="U10" s="58">
        <v>11.0</v>
      </c>
      <c r="V10" s="60">
        <v>60.25</v>
      </c>
      <c r="W10" s="60" t="s">
        <v>14</v>
      </c>
      <c r="X10" s="58" t="s">
        <v>106</v>
      </c>
    </row>
    <row r="11" ht="22.5" customHeight="1">
      <c r="A11" s="47" t="s">
        <v>100</v>
      </c>
      <c r="B11" s="47" t="s">
        <v>132</v>
      </c>
      <c r="C11" s="49" t="s">
        <v>92</v>
      </c>
      <c r="D11" s="50" t="s">
        <v>133</v>
      </c>
      <c r="E11" s="51">
        <v>3.2</v>
      </c>
      <c r="F11" s="52" t="s">
        <v>94</v>
      </c>
      <c r="G11" s="51">
        <v>13.0</v>
      </c>
      <c r="H11" s="53" t="s">
        <v>95</v>
      </c>
      <c r="I11" s="56">
        <v>31.0</v>
      </c>
      <c r="J11" s="52" t="s">
        <v>94</v>
      </c>
      <c r="K11" s="61">
        <v>185.0</v>
      </c>
      <c r="L11" s="52" t="s">
        <v>95</v>
      </c>
      <c r="M11" s="55" t="s">
        <v>96</v>
      </c>
      <c r="N11" s="51" t="s">
        <v>14</v>
      </c>
      <c r="O11" s="56">
        <v>49.0</v>
      </c>
      <c r="P11" s="57" t="s">
        <v>124</v>
      </c>
      <c r="Q11" s="58" t="s">
        <v>14</v>
      </c>
      <c r="R11" s="64">
        <v>108.0</v>
      </c>
      <c r="S11" s="59" t="s">
        <v>14</v>
      </c>
      <c r="T11" s="58" t="s">
        <v>134</v>
      </c>
      <c r="U11" s="58">
        <v>6.0</v>
      </c>
      <c r="V11" s="60">
        <v>62.0</v>
      </c>
      <c r="W11" s="60">
        <v>0.3</v>
      </c>
      <c r="X11" s="58" t="s">
        <v>135</v>
      </c>
    </row>
    <row r="12" ht="22.5" customHeight="1">
      <c r="A12" s="47" t="s">
        <v>90</v>
      </c>
      <c r="B12" s="47" t="s">
        <v>136</v>
      </c>
      <c r="C12" s="49" t="s">
        <v>92</v>
      </c>
      <c r="D12" s="50" t="s">
        <v>112</v>
      </c>
      <c r="E12" s="51">
        <v>11.9</v>
      </c>
      <c r="F12" s="52" t="s">
        <v>94</v>
      </c>
      <c r="G12" s="51">
        <v>12.8</v>
      </c>
      <c r="H12" s="53" t="s">
        <v>95</v>
      </c>
      <c r="I12" s="54">
        <v>338.0</v>
      </c>
      <c r="J12" s="52" t="s">
        <v>95</v>
      </c>
      <c r="K12" s="61">
        <v>386.0</v>
      </c>
      <c r="L12" s="52" t="s">
        <v>95</v>
      </c>
      <c r="M12" s="55" t="s">
        <v>137</v>
      </c>
      <c r="N12" s="51" t="s">
        <v>14</v>
      </c>
      <c r="O12" s="51" t="s">
        <v>14</v>
      </c>
      <c r="P12" s="57" t="s">
        <v>14</v>
      </c>
      <c r="Q12" s="58" t="s">
        <v>14</v>
      </c>
      <c r="R12" s="58" t="s">
        <v>14</v>
      </c>
      <c r="S12" s="59" t="s">
        <v>14</v>
      </c>
      <c r="T12" s="58">
        <v>5.0</v>
      </c>
      <c r="U12" s="58">
        <v>16.0</v>
      </c>
      <c r="V12" s="60">
        <v>48.5</v>
      </c>
      <c r="W12" s="60">
        <v>0.0</v>
      </c>
      <c r="X12" s="58" t="s">
        <v>138</v>
      </c>
    </row>
    <row r="13" ht="22.5" customHeight="1">
      <c r="A13" s="47" t="s">
        <v>90</v>
      </c>
      <c r="B13" s="48" t="s">
        <v>139</v>
      </c>
      <c r="C13" s="49" t="s">
        <v>92</v>
      </c>
      <c r="D13" s="50" t="s">
        <v>112</v>
      </c>
      <c r="E13" s="51">
        <v>3.1</v>
      </c>
      <c r="F13" s="52" t="s">
        <v>94</v>
      </c>
      <c r="G13" s="51">
        <v>3.6</v>
      </c>
      <c r="H13" s="53" t="s">
        <v>95</v>
      </c>
      <c r="I13" s="56">
        <v>24.0</v>
      </c>
      <c r="J13" s="52" t="s">
        <v>94</v>
      </c>
      <c r="K13" s="56">
        <v>27.0</v>
      </c>
      <c r="L13" s="52" t="s">
        <v>95</v>
      </c>
      <c r="M13" s="55" t="s">
        <v>97</v>
      </c>
      <c r="N13" s="51" t="s">
        <v>14</v>
      </c>
      <c r="O13" s="51" t="s">
        <v>14</v>
      </c>
      <c r="P13" s="57" t="s">
        <v>14</v>
      </c>
      <c r="Q13" s="58" t="s">
        <v>140</v>
      </c>
      <c r="R13" s="58">
        <v>130.0</v>
      </c>
      <c r="S13" s="59" t="s">
        <v>14</v>
      </c>
      <c r="T13" s="58">
        <v>5.0</v>
      </c>
      <c r="U13" s="58">
        <v>8.0</v>
      </c>
      <c r="V13" s="60">
        <v>57.0</v>
      </c>
      <c r="W13" s="60" t="s">
        <v>14</v>
      </c>
      <c r="X13" s="58" t="s">
        <v>141</v>
      </c>
    </row>
    <row r="14" ht="22.5" customHeight="1">
      <c r="A14" s="47" t="s">
        <v>90</v>
      </c>
      <c r="B14" s="47" t="s">
        <v>142</v>
      </c>
      <c r="C14" s="49" t="s">
        <v>92</v>
      </c>
      <c r="D14" s="50" t="s">
        <v>143</v>
      </c>
      <c r="E14" s="51">
        <v>11.1</v>
      </c>
      <c r="F14" s="52" t="s">
        <v>94</v>
      </c>
      <c r="G14" s="51">
        <v>16.8</v>
      </c>
      <c r="H14" s="53" t="s">
        <v>95</v>
      </c>
      <c r="I14" s="54">
        <v>291.0</v>
      </c>
      <c r="J14" s="52" t="s">
        <v>94</v>
      </c>
      <c r="K14" s="54">
        <v>324.0</v>
      </c>
      <c r="L14" s="52" t="s">
        <v>94</v>
      </c>
      <c r="M14" s="55" t="s">
        <v>108</v>
      </c>
      <c r="N14" s="51" t="s">
        <v>14</v>
      </c>
      <c r="O14" s="51" t="s">
        <v>14</v>
      </c>
      <c r="P14" s="57" t="s">
        <v>14</v>
      </c>
      <c r="Q14" s="58" t="s">
        <v>14</v>
      </c>
      <c r="R14" s="58" t="s">
        <v>14</v>
      </c>
      <c r="S14" s="59" t="s">
        <v>14</v>
      </c>
      <c r="T14" s="58">
        <v>6.0</v>
      </c>
      <c r="U14" s="58">
        <v>8.0</v>
      </c>
      <c r="V14" s="60">
        <v>41.5</v>
      </c>
      <c r="W14" s="60">
        <v>0.5</v>
      </c>
      <c r="X14" s="58" t="s">
        <v>144</v>
      </c>
    </row>
    <row r="15" ht="22.5" customHeight="1">
      <c r="A15" s="47" t="s">
        <v>100</v>
      </c>
      <c r="B15" s="47" t="s">
        <v>145</v>
      </c>
      <c r="C15" s="49" t="s">
        <v>92</v>
      </c>
      <c r="D15" s="50" t="s">
        <v>93</v>
      </c>
      <c r="E15" s="51">
        <v>1.8</v>
      </c>
      <c r="F15" s="52" t="s">
        <v>94</v>
      </c>
      <c r="G15" s="51" t="s">
        <v>14</v>
      </c>
      <c r="H15" s="53" t="s">
        <v>95</v>
      </c>
      <c r="I15" s="51" t="s">
        <v>14</v>
      </c>
      <c r="J15" s="52"/>
      <c r="K15" s="51" t="s">
        <v>14</v>
      </c>
      <c r="L15" s="52"/>
      <c r="M15" s="55" t="s">
        <v>14</v>
      </c>
      <c r="N15" s="63">
        <v>144.0</v>
      </c>
      <c r="O15" s="56">
        <v>80.0</v>
      </c>
      <c r="P15" s="57" t="s">
        <v>108</v>
      </c>
      <c r="Q15" s="58" t="s">
        <v>146</v>
      </c>
      <c r="R15" s="58" t="s">
        <v>14</v>
      </c>
      <c r="S15" s="59" t="s">
        <v>14</v>
      </c>
      <c r="T15" s="58" t="s">
        <v>147</v>
      </c>
      <c r="U15" s="58">
        <v>9.0</v>
      </c>
      <c r="V15" s="60">
        <v>30.0</v>
      </c>
      <c r="W15" s="60" t="s">
        <v>14</v>
      </c>
      <c r="X15" s="58" t="s">
        <v>148</v>
      </c>
    </row>
    <row r="16" ht="22.5" customHeight="1">
      <c r="A16" s="47" t="s">
        <v>100</v>
      </c>
      <c r="B16" s="47" t="s">
        <v>149</v>
      </c>
      <c r="C16" s="49" t="s">
        <v>92</v>
      </c>
      <c r="D16" s="50" t="s">
        <v>112</v>
      </c>
      <c r="E16" s="51">
        <v>2.6</v>
      </c>
      <c r="F16" s="52" t="s">
        <v>94</v>
      </c>
      <c r="G16" s="51">
        <v>3.6</v>
      </c>
      <c r="H16" s="53" t="s">
        <v>95</v>
      </c>
      <c r="I16" s="56">
        <v>55.0</v>
      </c>
      <c r="J16" s="52" t="s">
        <v>95</v>
      </c>
      <c r="K16" s="61">
        <v>247.0</v>
      </c>
      <c r="L16" s="52" t="s">
        <v>120</v>
      </c>
      <c r="M16" s="55" t="s">
        <v>96</v>
      </c>
      <c r="N16" s="51" t="s">
        <v>14</v>
      </c>
      <c r="O16" s="51" t="s">
        <v>14</v>
      </c>
      <c r="P16" s="57" t="s">
        <v>14</v>
      </c>
      <c r="Q16" s="58" t="s">
        <v>121</v>
      </c>
      <c r="R16" s="58" t="s">
        <v>14</v>
      </c>
      <c r="S16" s="59" t="s">
        <v>14</v>
      </c>
      <c r="T16" s="58" t="s">
        <v>150</v>
      </c>
      <c r="U16" s="58">
        <v>9.0</v>
      </c>
      <c r="V16" s="60">
        <v>59.75</v>
      </c>
      <c r="W16" s="60" t="s">
        <v>14</v>
      </c>
      <c r="X16" s="58" t="s">
        <v>148</v>
      </c>
    </row>
    <row r="17" ht="22.5" customHeight="1">
      <c r="A17" s="47" t="s">
        <v>90</v>
      </c>
      <c r="B17" s="48" t="s">
        <v>151</v>
      </c>
      <c r="C17" s="49" t="s">
        <v>92</v>
      </c>
      <c r="D17" s="50" t="s">
        <v>93</v>
      </c>
      <c r="E17" s="51">
        <v>10.4</v>
      </c>
      <c r="F17" s="52" t="s">
        <v>94</v>
      </c>
      <c r="G17" s="51">
        <v>12.4</v>
      </c>
      <c r="H17" s="53" t="s">
        <v>95</v>
      </c>
      <c r="I17" s="54">
        <v>209.0</v>
      </c>
      <c r="J17" s="52" t="s">
        <v>95</v>
      </c>
      <c r="K17" s="54">
        <v>851.0</v>
      </c>
      <c r="L17" s="52" t="s">
        <v>95</v>
      </c>
      <c r="M17" s="55" t="s">
        <v>152</v>
      </c>
      <c r="N17" s="51" t="s">
        <v>14</v>
      </c>
      <c r="O17" s="51" t="s">
        <v>14</v>
      </c>
      <c r="P17" s="57" t="s">
        <v>14</v>
      </c>
      <c r="Q17" s="58" t="s">
        <v>14</v>
      </c>
      <c r="R17" s="58" t="s">
        <v>14</v>
      </c>
      <c r="S17" s="59" t="s">
        <v>14</v>
      </c>
      <c r="T17" s="58">
        <v>5.0</v>
      </c>
      <c r="U17" s="58">
        <v>12.0</v>
      </c>
      <c r="V17" s="60">
        <v>42.5</v>
      </c>
      <c r="W17" s="60">
        <v>0.3</v>
      </c>
      <c r="X17" s="58" t="s">
        <v>153</v>
      </c>
    </row>
    <row r="18" ht="22.5" customHeight="1">
      <c r="A18" s="47" t="s">
        <v>100</v>
      </c>
      <c r="B18" s="65" t="s">
        <v>154</v>
      </c>
      <c r="C18" s="49" t="s">
        <v>92</v>
      </c>
      <c r="D18" s="50" t="s">
        <v>93</v>
      </c>
      <c r="E18" s="51" t="s">
        <v>59</v>
      </c>
      <c r="F18" s="52" t="s">
        <v>94</v>
      </c>
      <c r="G18" s="51" t="s">
        <v>59</v>
      </c>
      <c r="H18" s="53" t="s">
        <v>95</v>
      </c>
      <c r="I18" s="66" t="s">
        <v>14</v>
      </c>
      <c r="J18" s="52"/>
      <c r="K18" s="67" t="s">
        <v>14</v>
      </c>
      <c r="L18" s="52" t="s">
        <v>95</v>
      </c>
      <c r="M18" s="55" t="s">
        <v>96</v>
      </c>
      <c r="N18" s="51" t="s">
        <v>14</v>
      </c>
      <c r="O18" s="56">
        <v>197.0</v>
      </c>
      <c r="P18" s="57" t="s">
        <v>124</v>
      </c>
      <c r="Q18" s="58" t="s">
        <v>155</v>
      </c>
      <c r="R18" s="58">
        <v>78.0</v>
      </c>
      <c r="S18" s="59" t="s">
        <v>14</v>
      </c>
      <c r="T18" s="58">
        <v>4.0</v>
      </c>
      <c r="U18" s="58">
        <v>18.0</v>
      </c>
      <c r="V18" s="60" t="s">
        <v>59</v>
      </c>
      <c r="W18" s="60">
        <v>0.5</v>
      </c>
      <c r="X18" s="58" t="s">
        <v>156</v>
      </c>
    </row>
    <row r="19" ht="22.5" customHeight="1">
      <c r="A19" s="47" t="s">
        <v>90</v>
      </c>
      <c r="B19" s="47" t="s">
        <v>157</v>
      </c>
      <c r="C19" s="49" t="s">
        <v>158</v>
      </c>
      <c r="D19" s="50" t="s">
        <v>102</v>
      </c>
      <c r="E19" s="51">
        <v>1.1</v>
      </c>
      <c r="F19" s="52" t="s">
        <v>94</v>
      </c>
      <c r="G19" s="51">
        <v>2.9</v>
      </c>
      <c r="H19" s="53" t="s">
        <v>95</v>
      </c>
      <c r="I19" s="51" t="s">
        <v>14</v>
      </c>
      <c r="J19" s="52"/>
      <c r="K19" s="51" t="s">
        <v>14</v>
      </c>
      <c r="L19" s="52"/>
      <c r="M19" s="55" t="s">
        <v>14</v>
      </c>
      <c r="N19" s="56">
        <v>153.0</v>
      </c>
      <c r="O19" s="63">
        <v>391.0</v>
      </c>
      <c r="P19" s="57" t="s">
        <v>159</v>
      </c>
      <c r="Q19" s="58" t="s">
        <v>121</v>
      </c>
      <c r="R19" s="58" t="s">
        <v>14</v>
      </c>
      <c r="S19" s="59">
        <v>8.0</v>
      </c>
      <c r="T19" s="58">
        <v>6.6</v>
      </c>
      <c r="U19" s="58">
        <v>14.0</v>
      </c>
      <c r="V19" s="60">
        <v>62.25</v>
      </c>
      <c r="W19" s="60" t="s">
        <v>14</v>
      </c>
      <c r="X19" s="58" t="s">
        <v>160</v>
      </c>
    </row>
    <row r="20" ht="22.5" customHeight="1">
      <c r="A20" s="47" t="s">
        <v>100</v>
      </c>
      <c r="B20" s="47" t="s">
        <v>161</v>
      </c>
      <c r="C20" s="49" t="s">
        <v>158</v>
      </c>
      <c r="D20" s="50" t="s">
        <v>102</v>
      </c>
      <c r="E20" s="51">
        <v>2.9</v>
      </c>
      <c r="F20" s="52" t="s">
        <v>94</v>
      </c>
      <c r="G20" s="51" t="s">
        <v>14</v>
      </c>
      <c r="H20" s="53" t="s">
        <v>95</v>
      </c>
      <c r="I20" s="56">
        <v>35.0</v>
      </c>
      <c r="J20" s="52" t="s">
        <v>95</v>
      </c>
      <c r="K20" s="56">
        <v>41.0</v>
      </c>
      <c r="L20" s="52" t="s">
        <v>95</v>
      </c>
      <c r="M20" s="55" t="s">
        <v>159</v>
      </c>
      <c r="N20" s="51" t="s">
        <v>14</v>
      </c>
      <c r="O20" s="51" t="s">
        <v>14</v>
      </c>
      <c r="P20" s="57" t="s">
        <v>14</v>
      </c>
      <c r="Q20" s="58" t="s">
        <v>162</v>
      </c>
      <c r="R20" s="58" t="s">
        <v>14</v>
      </c>
      <c r="S20" s="59">
        <v>1.0</v>
      </c>
      <c r="T20" s="58">
        <v>3.3</v>
      </c>
      <c r="U20" s="58">
        <v>10.0</v>
      </c>
      <c r="V20" s="60">
        <v>73.25</v>
      </c>
      <c r="W20" s="60">
        <v>0.7</v>
      </c>
      <c r="X20" s="58" t="s">
        <v>163</v>
      </c>
    </row>
    <row r="21" ht="22.5" customHeight="1">
      <c r="A21" s="47" t="s">
        <v>100</v>
      </c>
      <c r="B21" s="47" t="s">
        <v>164</v>
      </c>
      <c r="C21" s="49" t="s">
        <v>158</v>
      </c>
      <c r="D21" s="50" t="s">
        <v>93</v>
      </c>
      <c r="E21" s="51">
        <v>2.1</v>
      </c>
      <c r="F21" s="52" t="s">
        <v>94</v>
      </c>
      <c r="G21" s="51" t="s">
        <v>14</v>
      </c>
      <c r="H21" s="53" t="s">
        <v>95</v>
      </c>
      <c r="I21" s="51" t="s">
        <v>14</v>
      </c>
      <c r="J21" s="52"/>
      <c r="K21" s="51" t="s">
        <v>14</v>
      </c>
      <c r="L21" s="52"/>
      <c r="M21" s="55" t="s">
        <v>14</v>
      </c>
      <c r="N21" s="56">
        <v>41.0</v>
      </c>
      <c r="O21" s="56">
        <v>70.0</v>
      </c>
      <c r="P21" s="57" t="s">
        <v>159</v>
      </c>
      <c r="Q21" s="58" t="s">
        <v>165</v>
      </c>
      <c r="R21" s="58">
        <v>7.0</v>
      </c>
      <c r="S21" s="59">
        <v>8.0</v>
      </c>
      <c r="T21" s="58">
        <v>2.0</v>
      </c>
      <c r="U21" s="58">
        <v>10.0</v>
      </c>
      <c r="V21" s="60">
        <v>21.0</v>
      </c>
      <c r="W21" s="60">
        <v>0.5</v>
      </c>
      <c r="X21" s="58" t="s">
        <v>166</v>
      </c>
    </row>
    <row r="22" ht="22.5" customHeight="1">
      <c r="A22" s="47" t="s">
        <v>90</v>
      </c>
      <c r="B22" s="47" t="s">
        <v>167</v>
      </c>
      <c r="C22" s="49" t="s">
        <v>158</v>
      </c>
      <c r="D22" s="50" t="s">
        <v>133</v>
      </c>
      <c r="E22" s="51">
        <v>12.6</v>
      </c>
      <c r="F22" s="52" t="s">
        <v>94</v>
      </c>
      <c r="G22" s="51">
        <v>14.2</v>
      </c>
      <c r="H22" s="53" t="s">
        <v>95</v>
      </c>
      <c r="I22" s="54">
        <v>411.0</v>
      </c>
      <c r="J22" s="52" t="s">
        <v>94</v>
      </c>
      <c r="K22" s="54">
        <v>560.0</v>
      </c>
      <c r="L22" s="52" t="s">
        <v>95</v>
      </c>
      <c r="M22" s="55" t="s">
        <v>14</v>
      </c>
      <c r="N22" s="51" t="s">
        <v>14</v>
      </c>
      <c r="O22" s="51" t="s">
        <v>14</v>
      </c>
      <c r="P22" s="57" t="s">
        <v>14</v>
      </c>
      <c r="Q22" s="58" t="s">
        <v>14</v>
      </c>
      <c r="R22" s="58" t="s">
        <v>14</v>
      </c>
      <c r="S22" s="59">
        <v>2.0</v>
      </c>
      <c r="T22" s="58">
        <v>7.0</v>
      </c>
      <c r="U22" s="58">
        <v>13.0</v>
      </c>
      <c r="V22" s="60">
        <v>46.0</v>
      </c>
      <c r="W22" s="60">
        <v>0.0</v>
      </c>
      <c r="X22" s="58" t="s">
        <v>160</v>
      </c>
    </row>
    <row r="23" ht="22.5" customHeight="1">
      <c r="A23" s="47" t="s">
        <v>100</v>
      </c>
      <c r="B23" s="47" t="s">
        <v>168</v>
      </c>
      <c r="C23" s="49" t="s">
        <v>158</v>
      </c>
      <c r="D23" s="50" t="s">
        <v>143</v>
      </c>
      <c r="E23" s="51">
        <v>1.9</v>
      </c>
      <c r="F23" s="52" t="s">
        <v>94</v>
      </c>
      <c r="G23" s="51">
        <v>6.1</v>
      </c>
      <c r="H23" s="53" t="s">
        <v>95</v>
      </c>
      <c r="I23" s="51" t="s">
        <v>14</v>
      </c>
      <c r="J23" s="52" t="s">
        <v>95</v>
      </c>
      <c r="K23" s="61">
        <v>177.0</v>
      </c>
      <c r="L23" s="52" t="s">
        <v>95</v>
      </c>
      <c r="M23" s="55" t="s">
        <v>159</v>
      </c>
      <c r="N23" s="56">
        <v>81.0</v>
      </c>
      <c r="O23" s="63">
        <v>130.0</v>
      </c>
      <c r="P23" s="57" t="s">
        <v>159</v>
      </c>
      <c r="Q23" s="58" t="s">
        <v>165</v>
      </c>
      <c r="R23" s="58" t="s">
        <v>14</v>
      </c>
      <c r="S23" s="59">
        <v>5.0</v>
      </c>
      <c r="T23" s="58">
        <v>5.0</v>
      </c>
      <c r="U23" s="58">
        <v>11.0</v>
      </c>
      <c r="V23" s="60">
        <v>70.0</v>
      </c>
      <c r="W23" s="60">
        <v>0.3</v>
      </c>
      <c r="X23" s="58" t="s">
        <v>169</v>
      </c>
    </row>
    <row r="24" ht="22.5" customHeight="1">
      <c r="A24" s="47" t="s">
        <v>90</v>
      </c>
      <c r="B24" s="48" t="s">
        <v>170</v>
      </c>
      <c r="C24" s="49" t="s">
        <v>158</v>
      </c>
      <c r="D24" s="50" t="s">
        <v>133</v>
      </c>
      <c r="E24" s="68">
        <v>8.1</v>
      </c>
      <c r="F24" s="52" t="s">
        <v>94</v>
      </c>
      <c r="G24" s="66">
        <v>12.5</v>
      </c>
      <c r="H24" s="53" t="s">
        <v>95</v>
      </c>
      <c r="I24" s="54">
        <v>272.0</v>
      </c>
      <c r="J24" s="52" t="s">
        <v>95</v>
      </c>
      <c r="K24" s="54">
        <v>593.0</v>
      </c>
      <c r="L24" s="52" t="s">
        <v>95</v>
      </c>
      <c r="M24" s="55" t="s">
        <v>159</v>
      </c>
      <c r="N24" s="51" t="s">
        <v>14</v>
      </c>
      <c r="O24" s="63">
        <v>316.0</v>
      </c>
      <c r="P24" s="57" t="s">
        <v>159</v>
      </c>
      <c r="Q24" s="58" t="s">
        <v>171</v>
      </c>
      <c r="R24" s="58" t="s">
        <v>14</v>
      </c>
      <c r="S24" s="59">
        <v>7.0</v>
      </c>
      <c r="T24" s="58">
        <v>7.0</v>
      </c>
      <c r="U24" s="58">
        <v>13.0</v>
      </c>
      <c r="V24" s="60">
        <v>54.25</v>
      </c>
      <c r="W24" s="60" t="s">
        <v>14</v>
      </c>
      <c r="X24" s="58" t="s">
        <v>172</v>
      </c>
    </row>
    <row r="25" ht="22.5" customHeight="1">
      <c r="A25" s="47" t="s">
        <v>100</v>
      </c>
      <c r="B25" s="47" t="s">
        <v>173</v>
      </c>
      <c r="C25" s="49" t="s">
        <v>158</v>
      </c>
      <c r="D25" s="50" t="s">
        <v>112</v>
      </c>
      <c r="E25" s="51">
        <v>3.1</v>
      </c>
      <c r="F25" s="52" t="s">
        <v>94</v>
      </c>
      <c r="G25" s="51">
        <v>6.6</v>
      </c>
      <c r="H25" s="53" t="s">
        <v>95</v>
      </c>
      <c r="I25" s="56">
        <v>75.0</v>
      </c>
      <c r="J25" s="52" t="s">
        <v>94</v>
      </c>
      <c r="K25" s="61">
        <v>192.0</v>
      </c>
      <c r="L25" s="52" t="s">
        <v>95</v>
      </c>
      <c r="M25" s="55" t="s">
        <v>159</v>
      </c>
      <c r="N25" s="51" t="s">
        <v>14</v>
      </c>
      <c r="O25" s="51" t="s">
        <v>14</v>
      </c>
      <c r="P25" s="57" t="s">
        <v>14</v>
      </c>
      <c r="Q25" s="58" t="s">
        <v>116</v>
      </c>
      <c r="R25" s="58" t="s">
        <v>14</v>
      </c>
      <c r="S25" s="59">
        <v>2.0</v>
      </c>
      <c r="T25" s="58">
        <v>3.3</v>
      </c>
      <c r="U25" s="58">
        <v>10.0</v>
      </c>
      <c r="V25" s="60">
        <v>46.25</v>
      </c>
      <c r="W25" s="60" t="s">
        <v>14</v>
      </c>
      <c r="X25" s="58" t="s">
        <v>163</v>
      </c>
    </row>
    <row r="26" ht="22.5" customHeight="1">
      <c r="A26" s="47" t="s">
        <v>100</v>
      </c>
      <c r="B26" s="47" t="s">
        <v>174</v>
      </c>
      <c r="C26" s="49" t="s">
        <v>158</v>
      </c>
      <c r="D26" s="50" t="s">
        <v>133</v>
      </c>
      <c r="E26" s="51">
        <v>1.0</v>
      </c>
      <c r="F26" s="52" t="s">
        <v>94</v>
      </c>
      <c r="G26" s="51">
        <v>20.0</v>
      </c>
      <c r="H26" s="53" t="s">
        <v>95</v>
      </c>
      <c r="I26" s="56">
        <v>9.0</v>
      </c>
      <c r="J26" s="52" t="s">
        <v>94</v>
      </c>
      <c r="K26" s="54">
        <v>360.0</v>
      </c>
      <c r="L26" s="52" t="s">
        <v>120</v>
      </c>
      <c r="M26" s="55" t="s">
        <v>159</v>
      </c>
      <c r="N26" s="51" t="s">
        <v>14</v>
      </c>
      <c r="O26" s="51" t="s">
        <v>14</v>
      </c>
      <c r="P26" s="57" t="s">
        <v>14</v>
      </c>
      <c r="Q26" s="58" t="s">
        <v>14</v>
      </c>
      <c r="R26" s="58">
        <v>58.0</v>
      </c>
      <c r="S26" s="59">
        <v>15.0</v>
      </c>
      <c r="T26" s="58">
        <v>0.0</v>
      </c>
      <c r="U26" s="58">
        <v>14.0</v>
      </c>
      <c r="V26" s="60">
        <v>54.25</v>
      </c>
      <c r="W26" s="60" t="s">
        <v>14</v>
      </c>
      <c r="X26" s="58" t="s">
        <v>175</v>
      </c>
    </row>
    <row r="27" ht="22.5" customHeight="1">
      <c r="A27" s="47" t="s">
        <v>90</v>
      </c>
      <c r="B27" s="48" t="s">
        <v>176</v>
      </c>
      <c r="C27" s="49" t="s">
        <v>158</v>
      </c>
      <c r="D27" s="50" t="s">
        <v>102</v>
      </c>
      <c r="E27" s="51">
        <v>0.8</v>
      </c>
      <c r="F27" s="52" t="s">
        <v>94</v>
      </c>
      <c r="G27" s="51">
        <v>2.4</v>
      </c>
      <c r="H27" s="53" t="s">
        <v>95</v>
      </c>
      <c r="I27" s="51" t="s">
        <v>14</v>
      </c>
      <c r="J27" s="52"/>
      <c r="K27" s="51" t="s">
        <v>14</v>
      </c>
      <c r="L27" s="52"/>
      <c r="M27" s="55" t="s">
        <v>14</v>
      </c>
      <c r="N27" s="63">
        <v>249.0</v>
      </c>
      <c r="O27" s="63">
        <v>471.0</v>
      </c>
      <c r="P27" s="57" t="s">
        <v>159</v>
      </c>
      <c r="Q27" s="58" t="s">
        <v>14</v>
      </c>
      <c r="R27" s="58" t="s">
        <v>14</v>
      </c>
      <c r="S27" s="59">
        <v>2.0</v>
      </c>
      <c r="T27" s="58">
        <v>6.0</v>
      </c>
      <c r="U27" s="58">
        <v>8.0</v>
      </c>
      <c r="V27" s="60">
        <v>59.0</v>
      </c>
      <c r="W27" s="60">
        <v>0.0</v>
      </c>
      <c r="X27" s="58" t="s">
        <v>144</v>
      </c>
    </row>
    <row r="28" ht="22.5" customHeight="1">
      <c r="A28" s="47" t="s">
        <v>90</v>
      </c>
      <c r="B28" s="47" t="s">
        <v>177</v>
      </c>
      <c r="C28" s="49" t="s">
        <v>158</v>
      </c>
      <c r="D28" s="50" t="s">
        <v>143</v>
      </c>
      <c r="E28" s="51">
        <v>1.5</v>
      </c>
      <c r="F28" s="52" t="s">
        <v>94</v>
      </c>
      <c r="G28" s="51">
        <v>3.9</v>
      </c>
      <c r="H28" s="53" t="s">
        <v>95</v>
      </c>
      <c r="I28" s="62" t="s">
        <v>14</v>
      </c>
      <c r="J28" s="52"/>
      <c r="K28" s="62" t="s">
        <v>14</v>
      </c>
      <c r="L28" s="52"/>
      <c r="M28" s="55" t="s">
        <v>14</v>
      </c>
      <c r="N28" s="56">
        <v>14.0</v>
      </c>
      <c r="O28" s="56">
        <v>64.0</v>
      </c>
      <c r="P28" s="57" t="s">
        <v>159</v>
      </c>
      <c r="Q28" s="58" t="s">
        <v>104</v>
      </c>
      <c r="R28" s="58" t="s">
        <v>14</v>
      </c>
      <c r="S28" s="59">
        <v>24.0</v>
      </c>
      <c r="T28" s="58">
        <v>2.0</v>
      </c>
      <c r="U28" s="58">
        <v>9.0</v>
      </c>
      <c r="V28" s="60">
        <v>79.0</v>
      </c>
      <c r="W28" s="60">
        <v>0.0</v>
      </c>
      <c r="X28" s="58" t="s">
        <v>160</v>
      </c>
    </row>
    <row r="29" ht="22.5" customHeight="1">
      <c r="A29" s="47" t="s">
        <v>90</v>
      </c>
      <c r="B29" s="48" t="s">
        <v>178</v>
      </c>
      <c r="C29" s="49" t="s">
        <v>158</v>
      </c>
      <c r="D29" s="50" t="s">
        <v>102</v>
      </c>
      <c r="E29" s="51">
        <v>1.6</v>
      </c>
      <c r="F29" s="69" t="s">
        <v>94</v>
      </c>
      <c r="G29" s="51">
        <v>10.6</v>
      </c>
      <c r="H29" s="53" t="s">
        <v>95</v>
      </c>
      <c r="I29" s="56">
        <v>75.0</v>
      </c>
      <c r="J29" s="52" t="s">
        <v>94</v>
      </c>
      <c r="K29" s="54">
        <v>386.0</v>
      </c>
      <c r="L29" s="52" t="s">
        <v>95</v>
      </c>
      <c r="M29" s="55" t="s">
        <v>159</v>
      </c>
      <c r="N29" s="51" t="s">
        <v>14</v>
      </c>
      <c r="O29" s="51" t="s">
        <v>14</v>
      </c>
      <c r="P29" s="57" t="s">
        <v>14</v>
      </c>
      <c r="Q29" s="58" t="s">
        <v>104</v>
      </c>
      <c r="R29" s="58">
        <v>56.0</v>
      </c>
      <c r="S29" s="59">
        <v>2.0</v>
      </c>
      <c r="T29" s="58">
        <v>4.0</v>
      </c>
      <c r="U29" s="58">
        <v>4.0</v>
      </c>
      <c r="V29" s="60">
        <v>74.0</v>
      </c>
      <c r="W29" s="60">
        <v>0.5</v>
      </c>
      <c r="X29" s="58" t="s">
        <v>153</v>
      </c>
    </row>
    <row r="30" ht="22.5" customHeight="1">
      <c r="A30" s="47" t="s">
        <v>100</v>
      </c>
      <c r="B30" s="47" t="s">
        <v>179</v>
      </c>
      <c r="C30" s="49" t="s">
        <v>158</v>
      </c>
      <c r="D30" s="50" t="s">
        <v>143</v>
      </c>
      <c r="E30" s="51">
        <v>2.7</v>
      </c>
      <c r="F30" s="52" t="s">
        <v>94</v>
      </c>
      <c r="G30" s="51">
        <v>5.4</v>
      </c>
      <c r="H30" s="53" t="s">
        <v>95</v>
      </c>
      <c r="I30" s="56">
        <v>10.0</v>
      </c>
      <c r="J30" s="52" t="s">
        <v>94</v>
      </c>
      <c r="K30" s="56">
        <v>18.0</v>
      </c>
      <c r="L30" s="52" t="s">
        <v>95</v>
      </c>
      <c r="M30" s="55" t="s">
        <v>159</v>
      </c>
      <c r="N30" s="51" t="s">
        <v>14</v>
      </c>
      <c r="O30" s="51" t="s">
        <v>14</v>
      </c>
      <c r="P30" s="57" t="s">
        <v>14</v>
      </c>
      <c r="Q30" s="58" t="s">
        <v>180</v>
      </c>
      <c r="R30" s="58" t="s">
        <v>14</v>
      </c>
      <c r="S30" s="59">
        <v>13.0</v>
      </c>
      <c r="T30" s="58" t="s">
        <v>181</v>
      </c>
      <c r="U30" s="58">
        <v>6.0</v>
      </c>
      <c r="V30" s="60">
        <v>58.5</v>
      </c>
      <c r="W30" s="60">
        <v>0.0</v>
      </c>
      <c r="X30" s="58" t="s">
        <v>14</v>
      </c>
    </row>
    <row r="31" ht="22.5" customHeight="1">
      <c r="A31" s="47" t="s">
        <v>100</v>
      </c>
      <c r="B31" s="48" t="s">
        <v>182</v>
      </c>
      <c r="C31" s="49" t="s">
        <v>183</v>
      </c>
      <c r="D31" s="50" t="s">
        <v>133</v>
      </c>
      <c r="E31" s="51">
        <v>2.0</v>
      </c>
      <c r="F31" s="52" t="s">
        <v>94</v>
      </c>
      <c r="G31" s="51" t="s">
        <v>14</v>
      </c>
      <c r="H31" s="53" t="s">
        <v>95</v>
      </c>
      <c r="I31" s="70" t="s">
        <v>14</v>
      </c>
      <c r="J31" s="52"/>
      <c r="K31" s="70" t="s">
        <v>14</v>
      </c>
      <c r="L31" s="52"/>
      <c r="M31" s="55" t="s">
        <v>14</v>
      </c>
      <c r="N31" s="51" t="s">
        <v>14</v>
      </c>
      <c r="O31" s="56">
        <v>34.0</v>
      </c>
      <c r="P31" s="57" t="s">
        <v>184</v>
      </c>
      <c r="Q31" s="58" t="s">
        <v>185</v>
      </c>
      <c r="R31" s="58" t="s">
        <v>14</v>
      </c>
      <c r="S31" s="59" t="s">
        <v>14</v>
      </c>
      <c r="T31" s="58">
        <v>3.0</v>
      </c>
      <c r="U31" s="58">
        <v>12.0</v>
      </c>
      <c r="V31" s="60">
        <v>74.0</v>
      </c>
      <c r="W31" s="60" t="s">
        <v>14</v>
      </c>
      <c r="X31" s="58" t="s">
        <v>156</v>
      </c>
    </row>
    <row r="32" ht="22.5" customHeight="1">
      <c r="A32" s="47" t="s">
        <v>90</v>
      </c>
      <c r="B32" s="47" t="s">
        <v>186</v>
      </c>
      <c r="C32" s="49" t="s">
        <v>183</v>
      </c>
      <c r="D32" s="50" t="s">
        <v>102</v>
      </c>
      <c r="E32" s="51">
        <v>7.3</v>
      </c>
      <c r="F32" s="52" t="s">
        <v>94</v>
      </c>
      <c r="G32" s="51">
        <v>9.7</v>
      </c>
      <c r="H32" s="53" t="s">
        <v>95</v>
      </c>
      <c r="I32" s="54">
        <v>262.0</v>
      </c>
      <c r="J32" s="52" t="s">
        <v>95</v>
      </c>
      <c r="K32" s="54">
        <v>460.0</v>
      </c>
      <c r="L32" s="52" t="s">
        <v>120</v>
      </c>
      <c r="M32" s="55" t="s">
        <v>187</v>
      </c>
      <c r="N32" s="51" t="s">
        <v>14</v>
      </c>
      <c r="O32" s="61">
        <v>481.0</v>
      </c>
      <c r="P32" s="57" t="s">
        <v>188</v>
      </c>
      <c r="Q32" s="58" t="s">
        <v>180</v>
      </c>
      <c r="R32" s="58" t="s">
        <v>14</v>
      </c>
      <c r="S32" s="59" t="s">
        <v>14</v>
      </c>
      <c r="T32" s="58">
        <v>6.0</v>
      </c>
      <c r="U32" s="58">
        <v>18.0</v>
      </c>
      <c r="V32" s="60">
        <v>85.25</v>
      </c>
      <c r="W32" s="60">
        <v>0.5</v>
      </c>
      <c r="X32" s="58" t="s">
        <v>189</v>
      </c>
    </row>
    <row r="33" ht="22.5" customHeight="1">
      <c r="A33" s="47" t="s">
        <v>100</v>
      </c>
      <c r="B33" s="47" t="s">
        <v>190</v>
      </c>
      <c r="C33" s="49" t="s">
        <v>183</v>
      </c>
      <c r="D33" s="50" t="s">
        <v>112</v>
      </c>
      <c r="E33" s="51">
        <v>1.1</v>
      </c>
      <c r="F33" s="52" t="s">
        <v>94</v>
      </c>
      <c r="G33" s="51">
        <v>2.5</v>
      </c>
      <c r="H33" s="53" t="s">
        <v>95</v>
      </c>
      <c r="I33" s="56">
        <v>2.0</v>
      </c>
      <c r="J33" s="52" t="s">
        <v>94</v>
      </c>
      <c r="K33" s="61">
        <v>416.0</v>
      </c>
      <c r="L33" s="52" t="s">
        <v>120</v>
      </c>
      <c r="M33" s="55" t="s">
        <v>188</v>
      </c>
      <c r="N33" s="51" t="s">
        <v>14</v>
      </c>
      <c r="O33" s="51" t="s">
        <v>14</v>
      </c>
      <c r="P33" s="57" t="s">
        <v>14</v>
      </c>
      <c r="Q33" s="58" t="s">
        <v>116</v>
      </c>
      <c r="R33" s="58">
        <v>92.0</v>
      </c>
      <c r="S33" s="59" t="s">
        <v>14</v>
      </c>
      <c r="T33" s="58" t="s">
        <v>191</v>
      </c>
      <c r="U33" s="58">
        <v>15.0</v>
      </c>
      <c r="V33" s="60">
        <v>67.25</v>
      </c>
      <c r="W33" s="60" t="s">
        <v>14</v>
      </c>
      <c r="X33" s="58" t="s">
        <v>192</v>
      </c>
    </row>
    <row r="34" ht="22.5" customHeight="1">
      <c r="A34" s="47" t="s">
        <v>100</v>
      </c>
      <c r="B34" s="47" t="s">
        <v>193</v>
      </c>
      <c r="C34" s="49" t="s">
        <v>183</v>
      </c>
      <c r="D34" s="50" t="s">
        <v>102</v>
      </c>
      <c r="E34" s="51">
        <v>2.3</v>
      </c>
      <c r="F34" s="52" t="s">
        <v>94</v>
      </c>
      <c r="G34" s="51">
        <v>6.6</v>
      </c>
      <c r="H34" s="53" t="s">
        <v>95</v>
      </c>
      <c r="I34" s="56">
        <v>57.0</v>
      </c>
      <c r="J34" s="52" t="s">
        <v>94</v>
      </c>
      <c r="K34" s="54">
        <v>215.0</v>
      </c>
      <c r="L34" s="52" t="s">
        <v>95</v>
      </c>
      <c r="M34" s="55" t="s">
        <v>194</v>
      </c>
      <c r="N34" s="51" t="s">
        <v>14</v>
      </c>
      <c r="O34" s="51" t="s">
        <v>14</v>
      </c>
      <c r="P34" s="57" t="s">
        <v>14</v>
      </c>
      <c r="Q34" s="58" t="s">
        <v>14</v>
      </c>
      <c r="R34" s="58">
        <v>12.0</v>
      </c>
      <c r="S34" s="59">
        <v>6.0</v>
      </c>
      <c r="T34" s="58">
        <v>3.3</v>
      </c>
      <c r="U34" s="58">
        <v>9.0</v>
      </c>
      <c r="V34" s="60">
        <v>49.5</v>
      </c>
      <c r="W34" s="60">
        <v>0.5</v>
      </c>
      <c r="X34" s="58" t="s">
        <v>195</v>
      </c>
    </row>
    <row r="35" ht="22.5" customHeight="1">
      <c r="A35" s="47" t="s">
        <v>100</v>
      </c>
      <c r="B35" s="48" t="s">
        <v>196</v>
      </c>
      <c r="C35" s="49" t="s">
        <v>183</v>
      </c>
      <c r="D35" s="50" t="s">
        <v>102</v>
      </c>
      <c r="E35" s="51">
        <v>1.9</v>
      </c>
      <c r="F35" s="52" t="s">
        <v>94</v>
      </c>
      <c r="G35" s="51" t="s">
        <v>14</v>
      </c>
      <c r="H35" s="53" t="s">
        <v>95</v>
      </c>
      <c r="I35" s="56">
        <v>12.0</v>
      </c>
      <c r="J35" s="52" t="s">
        <v>94</v>
      </c>
      <c r="K35" s="56">
        <v>18.0</v>
      </c>
      <c r="L35" s="52" t="s">
        <v>94</v>
      </c>
      <c r="M35" s="55" t="s">
        <v>194</v>
      </c>
      <c r="N35" s="51" t="s">
        <v>14</v>
      </c>
      <c r="O35" s="51" t="s">
        <v>14</v>
      </c>
      <c r="P35" s="57" t="s">
        <v>14</v>
      </c>
      <c r="Q35" s="58" t="s">
        <v>197</v>
      </c>
      <c r="R35" s="58" t="s">
        <v>14</v>
      </c>
      <c r="S35" s="59">
        <v>20.0</v>
      </c>
      <c r="T35" s="58">
        <v>3.0</v>
      </c>
      <c r="U35" s="58">
        <v>3.0</v>
      </c>
      <c r="V35" s="60">
        <v>68.25</v>
      </c>
      <c r="W35" s="60" t="s">
        <v>14</v>
      </c>
      <c r="X35" s="58" t="s">
        <v>198</v>
      </c>
    </row>
    <row r="36" ht="22.5" customHeight="1">
      <c r="A36" s="47" t="s">
        <v>90</v>
      </c>
      <c r="B36" s="47" t="s">
        <v>199</v>
      </c>
      <c r="C36" s="49" t="s">
        <v>183</v>
      </c>
      <c r="D36" s="50" t="s">
        <v>93</v>
      </c>
      <c r="E36" s="51">
        <v>2.7</v>
      </c>
      <c r="F36" s="52" t="s">
        <v>94</v>
      </c>
      <c r="G36" s="51">
        <v>4.0</v>
      </c>
      <c r="H36" s="53" t="s">
        <v>95</v>
      </c>
      <c r="I36" s="51" t="s">
        <v>14</v>
      </c>
      <c r="J36" s="52"/>
      <c r="K36" s="51" t="s">
        <v>14</v>
      </c>
      <c r="L36" s="52"/>
      <c r="M36" s="55" t="s">
        <v>14</v>
      </c>
      <c r="N36" s="63">
        <v>249.0</v>
      </c>
      <c r="O36" s="63">
        <v>315.0</v>
      </c>
      <c r="P36" s="57" t="s">
        <v>200</v>
      </c>
      <c r="Q36" s="58" t="s">
        <v>116</v>
      </c>
      <c r="R36" s="58" t="s">
        <v>14</v>
      </c>
      <c r="S36" s="59" t="s">
        <v>14</v>
      </c>
      <c r="T36" s="58" t="s">
        <v>201</v>
      </c>
      <c r="U36" s="58">
        <v>14.0</v>
      </c>
      <c r="V36" s="60">
        <v>81.0</v>
      </c>
      <c r="W36" s="60">
        <v>0.2</v>
      </c>
      <c r="X36" s="58" t="s">
        <v>135</v>
      </c>
    </row>
    <row r="37" ht="22.5" customHeight="1">
      <c r="A37" s="47" t="s">
        <v>100</v>
      </c>
      <c r="B37" s="48" t="s">
        <v>202</v>
      </c>
      <c r="C37" s="49" t="s">
        <v>183</v>
      </c>
      <c r="D37" s="50" t="s">
        <v>143</v>
      </c>
      <c r="E37" s="51">
        <v>2.1</v>
      </c>
      <c r="F37" s="52" t="s">
        <v>94</v>
      </c>
      <c r="G37" s="51">
        <v>4.2</v>
      </c>
      <c r="H37" s="53" t="s">
        <v>95</v>
      </c>
      <c r="I37" s="51" t="s">
        <v>14</v>
      </c>
      <c r="J37" s="52"/>
      <c r="K37" s="51" t="s">
        <v>14</v>
      </c>
      <c r="L37" s="52"/>
      <c r="M37" s="55" t="s">
        <v>14</v>
      </c>
      <c r="N37" s="56">
        <v>47.0</v>
      </c>
      <c r="O37" s="56">
        <v>77.0</v>
      </c>
      <c r="P37" s="57" t="s">
        <v>203</v>
      </c>
      <c r="Q37" s="58" t="s">
        <v>180</v>
      </c>
      <c r="R37" s="58" t="s">
        <v>14</v>
      </c>
      <c r="S37" s="59">
        <v>11.0</v>
      </c>
      <c r="T37" s="58" t="s">
        <v>181</v>
      </c>
      <c r="U37" s="58">
        <v>6.0</v>
      </c>
      <c r="V37" s="60">
        <v>70.25</v>
      </c>
      <c r="W37" s="60" t="s">
        <v>14</v>
      </c>
      <c r="X37" s="58" t="s">
        <v>204</v>
      </c>
    </row>
    <row r="38" ht="22.5" customHeight="1">
      <c r="A38" s="47" t="s">
        <v>90</v>
      </c>
      <c r="B38" s="48" t="s">
        <v>205</v>
      </c>
      <c r="C38" s="49" t="s">
        <v>183</v>
      </c>
      <c r="D38" s="50" t="s">
        <v>112</v>
      </c>
      <c r="E38" s="51">
        <v>1.0</v>
      </c>
      <c r="F38" s="52" t="s">
        <v>94</v>
      </c>
      <c r="G38" s="51">
        <v>11.2</v>
      </c>
      <c r="H38" s="53" t="s">
        <v>95</v>
      </c>
      <c r="I38" s="54">
        <v>284.0</v>
      </c>
      <c r="J38" s="52" t="s">
        <v>95</v>
      </c>
      <c r="K38" s="54">
        <v>329.0</v>
      </c>
      <c r="L38" s="52" t="s">
        <v>95</v>
      </c>
      <c r="M38" s="55" t="s">
        <v>194</v>
      </c>
      <c r="N38" s="56">
        <v>29.0</v>
      </c>
      <c r="O38" s="61">
        <v>337.0</v>
      </c>
      <c r="P38" s="57" t="s">
        <v>187</v>
      </c>
      <c r="Q38" s="58" t="s">
        <v>14</v>
      </c>
      <c r="R38" s="58">
        <v>176.0</v>
      </c>
      <c r="S38" s="59" t="s">
        <v>14</v>
      </c>
      <c r="T38" s="58">
        <v>6.6</v>
      </c>
      <c r="U38" s="58">
        <v>24.0</v>
      </c>
      <c r="V38" s="60">
        <v>86.5</v>
      </c>
      <c r="W38" s="60" t="s">
        <v>14</v>
      </c>
      <c r="X38" s="58" t="s">
        <v>206</v>
      </c>
    </row>
    <row r="39" ht="22.5" customHeight="1">
      <c r="A39" s="47" t="s">
        <v>90</v>
      </c>
      <c r="B39" s="47" t="s">
        <v>207</v>
      </c>
      <c r="C39" s="49" t="s">
        <v>183</v>
      </c>
      <c r="D39" s="50" t="s">
        <v>112</v>
      </c>
      <c r="E39" s="51">
        <v>2.8</v>
      </c>
      <c r="F39" s="52" t="s">
        <v>94</v>
      </c>
      <c r="G39" s="51" t="s">
        <v>14</v>
      </c>
      <c r="H39" s="53" t="s">
        <v>95</v>
      </c>
      <c r="I39" s="51" t="s">
        <v>14</v>
      </c>
      <c r="J39" s="52"/>
      <c r="K39" s="51" t="s">
        <v>14</v>
      </c>
      <c r="L39" s="52"/>
      <c r="M39" s="55" t="s">
        <v>14</v>
      </c>
      <c r="N39" s="56">
        <v>43.0</v>
      </c>
      <c r="O39" s="56">
        <v>50.0</v>
      </c>
      <c r="P39" s="57" t="s">
        <v>208</v>
      </c>
      <c r="Q39" s="58" t="s">
        <v>116</v>
      </c>
      <c r="R39" s="58" t="s">
        <v>14</v>
      </c>
      <c r="S39" s="59" t="s">
        <v>14</v>
      </c>
      <c r="T39" s="58">
        <v>3.3</v>
      </c>
      <c r="U39" s="58">
        <v>6.0</v>
      </c>
      <c r="V39" s="60">
        <v>92.75</v>
      </c>
      <c r="W39" s="60" t="s">
        <v>14</v>
      </c>
      <c r="X39" s="58" t="s">
        <v>209</v>
      </c>
    </row>
    <row r="40" ht="22.5" customHeight="1">
      <c r="A40" s="47" t="s">
        <v>90</v>
      </c>
      <c r="B40" s="48" t="s">
        <v>210</v>
      </c>
      <c r="C40" s="49" t="s">
        <v>183</v>
      </c>
      <c r="D40" s="50" t="s">
        <v>112</v>
      </c>
      <c r="E40" s="51">
        <v>13.1</v>
      </c>
      <c r="F40" s="52" t="s">
        <v>94</v>
      </c>
      <c r="G40" s="51" t="s">
        <v>14</v>
      </c>
      <c r="H40" s="53" t="s">
        <v>95</v>
      </c>
      <c r="I40" s="54">
        <v>383.0</v>
      </c>
      <c r="J40" s="52" t="s">
        <v>94</v>
      </c>
      <c r="K40" s="54">
        <v>1123.0</v>
      </c>
      <c r="L40" s="52" t="s">
        <v>94</v>
      </c>
      <c r="M40" s="55" t="s">
        <v>152</v>
      </c>
      <c r="N40" s="51" t="s">
        <v>14</v>
      </c>
      <c r="O40" s="51" t="s">
        <v>14</v>
      </c>
      <c r="P40" s="57" t="s">
        <v>14</v>
      </c>
      <c r="Q40" s="58" t="s">
        <v>14</v>
      </c>
      <c r="R40" s="58" t="s">
        <v>14</v>
      </c>
      <c r="S40" s="59" t="s">
        <v>14</v>
      </c>
      <c r="T40" s="58">
        <v>4.5</v>
      </c>
      <c r="U40" s="58">
        <v>4.0</v>
      </c>
      <c r="V40" s="60">
        <v>44.0</v>
      </c>
      <c r="W40" s="60">
        <v>0.15</v>
      </c>
      <c r="X40" s="58" t="s">
        <v>153</v>
      </c>
    </row>
    <row r="41" ht="22.5" customHeight="1">
      <c r="A41" s="47" t="s">
        <v>90</v>
      </c>
      <c r="B41" s="47" t="s">
        <v>211</v>
      </c>
      <c r="C41" s="49" t="s">
        <v>183</v>
      </c>
      <c r="D41" s="50" t="s">
        <v>112</v>
      </c>
      <c r="E41" s="51">
        <v>15.0</v>
      </c>
      <c r="F41" s="52" t="s">
        <v>94</v>
      </c>
      <c r="G41" s="51">
        <v>16.0</v>
      </c>
      <c r="H41" s="53" t="s">
        <v>95</v>
      </c>
      <c r="I41" s="54">
        <v>506.0</v>
      </c>
      <c r="J41" s="52" t="s">
        <v>95</v>
      </c>
      <c r="K41" s="54">
        <v>727.0</v>
      </c>
      <c r="L41" s="52" t="s">
        <v>95</v>
      </c>
      <c r="M41" s="55" t="s">
        <v>14</v>
      </c>
      <c r="N41" s="51" t="s">
        <v>14</v>
      </c>
      <c r="O41" s="51" t="s">
        <v>14</v>
      </c>
      <c r="P41" s="57" t="s">
        <v>14</v>
      </c>
      <c r="Q41" s="58" t="s">
        <v>14</v>
      </c>
      <c r="R41" s="58">
        <v>135.0</v>
      </c>
      <c r="S41" s="59" t="s">
        <v>14</v>
      </c>
      <c r="T41" s="58">
        <v>8.0</v>
      </c>
      <c r="U41" s="58">
        <v>15.0</v>
      </c>
      <c r="V41" s="60">
        <v>51.75</v>
      </c>
      <c r="W41" s="60">
        <v>0.0</v>
      </c>
      <c r="X41" s="58" t="s">
        <v>212</v>
      </c>
    </row>
    <row r="42" ht="22.5" customHeight="1">
      <c r="A42" s="47" t="s">
        <v>90</v>
      </c>
      <c r="B42" s="48" t="s">
        <v>213</v>
      </c>
      <c r="C42" s="49" t="s">
        <v>183</v>
      </c>
      <c r="D42" s="50" t="s">
        <v>102</v>
      </c>
      <c r="E42" s="51">
        <v>4.3</v>
      </c>
      <c r="F42" s="52" t="s">
        <v>94</v>
      </c>
      <c r="G42" s="51">
        <v>12.0</v>
      </c>
      <c r="H42" s="53" t="s">
        <v>95</v>
      </c>
      <c r="I42" s="51" t="s">
        <v>14</v>
      </c>
      <c r="J42" s="52" t="s">
        <v>95</v>
      </c>
      <c r="K42" s="63">
        <v>323.0</v>
      </c>
      <c r="L42" s="52" t="s">
        <v>95</v>
      </c>
      <c r="M42" s="55" t="s">
        <v>188</v>
      </c>
      <c r="N42" s="56">
        <v>46.0</v>
      </c>
      <c r="O42" s="56">
        <v>298.0</v>
      </c>
      <c r="P42" s="57" t="s">
        <v>188</v>
      </c>
      <c r="Q42" s="58" t="s">
        <v>214</v>
      </c>
      <c r="R42" s="58" t="s">
        <v>14</v>
      </c>
      <c r="S42" s="59" t="s">
        <v>14</v>
      </c>
      <c r="T42" s="58">
        <v>4.5</v>
      </c>
      <c r="U42" s="58">
        <v>10.0</v>
      </c>
      <c r="V42" s="60">
        <v>22.0</v>
      </c>
      <c r="W42" s="60">
        <v>0.5</v>
      </c>
      <c r="X42" s="58" t="s">
        <v>215</v>
      </c>
    </row>
    <row r="43" ht="22.5" customHeight="1">
      <c r="A43" s="47" t="s">
        <v>90</v>
      </c>
      <c r="B43" s="48" t="s">
        <v>216</v>
      </c>
      <c r="C43" s="49" t="s">
        <v>183</v>
      </c>
      <c r="D43" s="50" t="s">
        <v>93</v>
      </c>
      <c r="E43" s="51">
        <v>1.2</v>
      </c>
      <c r="F43" s="52" t="s">
        <v>94</v>
      </c>
      <c r="G43" s="51">
        <v>5.6</v>
      </c>
      <c r="H43" s="53" t="s">
        <v>95</v>
      </c>
      <c r="I43" s="51" t="s">
        <v>14</v>
      </c>
      <c r="J43" s="52" t="s">
        <v>95</v>
      </c>
      <c r="K43" s="56">
        <v>92.0</v>
      </c>
      <c r="L43" s="52" t="s">
        <v>95</v>
      </c>
      <c r="M43" s="55" t="s">
        <v>188</v>
      </c>
      <c r="N43" s="56">
        <v>14.0</v>
      </c>
      <c r="O43" s="56">
        <v>12.0</v>
      </c>
      <c r="P43" s="57" t="s">
        <v>194</v>
      </c>
      <c r="Q43" s="58" t="s">
        <v>217</v>
      </c>
      <c r="R43" s="58">
        <v>115.0</v>
      </c>
      <c r="S43" s="59" t="s">
        <v>14</v>
      </c>
      <c r="T43" s="58" t="s">
        <v>201</v>
      </c>
      <c r="U43" s="58">
        <v>5.0</v>
      </c>
      <c r="V43" s="60">
        <v>68.75</v>
      </c>
      <c r="W43" s="60">
        <v>0.0</v>
      </c>
      <c r="X43" s="58" t="s">
        <v>218</v>
      </c>
    </row>
    <row r="44" ht="22.5" customHeight="1">
      <c r="A44" s="47" t="s">
        <v>100</v>
      </c>
      <c r="B44" s="47" t="s">
        <v>219</v>
      </c>
      <c r="C44" s="49" t="s">
        <v>183</v>
      </c>
      <c r="D44" s="50" t="s">
        <v>102</v>
      </c>
      <c r="E44" s="51">
        <v>2.1</v>
      </c>
      <c r="F44" s="52" t="s">
        <v>94</v>
      </c>
      <c r="G44" s="51">
        <v>4.0</v>
      </c>
      <c r="H44" s="53" t="s">
        <v>95</v>
      </c>
      <c r="I44" s="51" t="s">
        <v>14</v>
      </c>
      <c r="J44" s="52"/>
      <c r="K44" s="51" t="s">
        <v>14</v>
      </c>
      <c r="L44" s="52"/>
      <c r="M44" s="55" t="s">
        <v>14</v>
      </c>
      <c r="N44" s="63">
        <v>224.0</v>
      </c>
      <c r="O44" s="63">
        <v>437.0</v>
      </c>
      <c r="P44" s="57" t="s">
        <v>188</v>
      </c>
      <c r="Q44" s="58" t="s">
        <v>104</v>
      </c>
      <c r="R44" s="58">
        <v>4.0</v>
      </c>
      <c r="S44" s="71">
        <v>0.42</v>
      </c>
      <c r="T44" s="58">
        <v>10.0</v>
      </c>
      <c r="U44" s="58">
        <v>26.0</v>
      </c>
      <c r="V44" s="60">
        <v>82.75</v>
      </c>
      <c r="W44" s="60">
        <v>0.3</v>
      </c>
      <c r="X44" s="58" t="s">
        <v>220</v>
      </c>
    </row>
    <row r="45" ht="22.5" customHeight="1">
      <c r="A45" s="47" t="s">
        <v>90</v>
      </c>
      <c r="B45" s="47" t="s">
        <v>221</v>
      </c>
      <c r="C45" s="49" t="s">
        <v>183</v>
      </c>
      <c r="D45" s="50" t="s">
        <v>93</v>
      </c>
      <c r="E45" s="51">
        <v>9.6</v>
      </c>
      <c r="F45" s="52" t="s">
        <v>94</v>
      </c>
      <c r="G45" s="51" t="s">
        <v>14</v>
      </c>
      <c r="H45" s="53" t="s">
        <v>95</v>
      </c>
      <c r="I45" s="54">
        <v>204.0</v>
      </c>
      <c r="J45" s="52" t="s">
        <v>94</v>
      </c>
      <c r="K45" s="54">
        <v>334.0</v>
      </c>
      <c r="L45" s="52" t="s">
        <v>94</v>
      </c>
      <c r="M45" s="55" t="s">
        <v>152</v>
      </c>
      <c r="N45" s="51" t="s">
        <v>14</v>
      </c>
      <c r="O45" s="51" t="s">
        <v>14</v>
      </c>
      <c r="P45" s="57" t="s">
        <v>14</v>
      </c>
      <c r="Q45" s="58" t="s">
        <v>14</v>
      </c>
      <c r="R45" s="58" t="s">
        <v>14</v>
      </c>
      <c r="S45" s="59" t="s">
        <v>14</v>
      </c>
      <c r="T45" s="58">
        <v>3.0</v>
      </c>
      <c r="U45" s="58">
        <v>16.0</v>
      </c>
      <c r="V45" s="60">
        <v>62.75</v>
      </c>
      <c r="W45" s="60">
        <v>0.5</v>
      </c>
      <c r="X45" s="58" t="s">
        <v>222</v>
      </c>
    </row>
    <row r="46" ht="22.5" customHeight="1">
      <c r="A46" s="47" t="s">
        <v>90</v>
      </c>
      <c r="B46" s="48" t="s">
        <v>223</v>
      </c>
      <c r="C46" s="49" t="s">
        <v>183</v>
      </c>
      <c r="D46" s="50" t="s">
        <v>102</v>
      </c>
      <c r="E46" s="51">
        <v>2.8</v>
      </c>
      <c r="F46" s="52" t="s">
        <v>94</v>
      </c>
      <c r="G46" s="51" t="s">
        <v>14</v>
      </c>
      <c r="H46" s="53" t="s">
        <v>95</v>
      </c>
      <c r="I46" s="51" t="s">
        <v>14</v>
      </c>
      <c r="J46" s="52"/>
      <c r="K46" s="51" t="s">
        <v>14</v>
      </c>
      <c r="L46" s="52"/>
      <c r="M46" s="55" t="s">
        <v>14</v>
      </c>
      <c r="N46" s="63">
        <v>288.0</v>
      </c>
      <c r="O46" s="63">
        <v>568.0</v>
      </c>
      <c r="P46" s="57" t="s">
        <v>194</v>
      </c>
      <c r="Q46" s="58" t="s">
        <v>116</v>
      </c>
      <c r="R46" s="58">
        <v>34.0</v>
      </c>
      <c r="S46" s="59" t="s">
        <v>14</v>
      </c>
      <c r="T46" s="58">
        <v>7.0</v>
      </c>
      <c r="U46" s="58">
        <v>14.0</v>
      </c>
      <c r="V46" s="60">
        <v>79.75</v>
      </c>
      <c r="W46" s="60" t="s">
        <v>14</v>
      </c>
      <c r="X46" s="58" t="s">
        <v>224</v>
      </c>
    </row>
    <row r="47" ht="22.5" customHeight="1">
      <c r="A47" s="47" t="s">
        <v>90</v>
      </c>
      <c r="B47" s="47" t="s">
        <v>225</v>
      </c>
      <c r="C47" s="49" t="s">
        <v>226</v>
      </c>
      <c r="D47" s="50" t="s">
        <v>102</v>
      </c>
      <c r="E47" s="51">
        <v>6.0</v>
      </c>
      <c r="F47" s="52" t="s">
        <v>94</v>
      </c>
      <c r="G47" s="51">
        <v>11.0</v>
      </c>
      <c r="H47" s="53" t="s">
        <v>95</v>
      </c>
      <c r="I47" s="54">
        <v>325.0</v>
      </c>
      <c r="J47" s="52" t="s">
        <v>95</v>
      </c>
      <c r="K47" s="54">
        <v>434.0</v>
      </c>
      <c r="L47" s="52" t="s">
        <v>95</v>
      </c>
      <c r="M47" s="55" t="s">
        <v>227</v>
      </c>
      <c r="N47" s="51" t="s">
        <v>14</v>
      </c>
      <c r="O47" s="51" t="s">
        <v>14</v>
      </c>
      <c r="P47" s="57" t="s">
        <v>14</v>
      </c>
      <c r="Q47" s="58" t="s">
        <v>14</v>
      </c>
      <c r="R47" s="58" t="s">
        <v>14</v>
      </c>
      <c r="S47" s="59" t="s">
        <v>14</v>
      </c>
      <c r="T47" s="58" t="s">
        <v>228</v>
      </c>
      <c r="U47" s="58">
        <v>15.0</v>
      </c>
      <c r="V47" s="60">
        <v>46.75</v>
      </c>
      <c r="W47" s="60">
        <v>0.0</v>
      </c>
      <c r="X47" s="58" t="s">
        <v>209</v>
      </c>
    </row>
    <row r="48" ht="22.5" customHeight="1">
      <c r="A48" s="47" t="s">
        <v>90</v>
      </c>
      <c r="B48" s="47" t="s">
        <v>229</v>
      </c>
      <c r="C48" s="49" t="s">
        <v>226</v>
      </c>
      <c r="D48" s="50" t="s">
        <v>112</v>
      </c>
      <c r="E48" s="51">
        <v>2.6</v>
      </c>
      <c r="F48" s="52" t="s">
        <v>94</v>
      </c>
      <c r="G48" s="51" t="s">
        <v>14</v>
      </c>
      <c r="H48" s="53" t="s">
        <v>95</v>
      </c>
      <c r="I48" s="51" t="s">
        <v>14</v>
      </c>
      <c r="J48" s="52"/>
      <c r="K48" s="51" t="s">
        <v>14</v>
      </c>
      <c r="L48" s="52"/>
      <c r="M48" s="55" t="s">
        <v>14</v>
      </c>
      <c r="N48" s="56">
        <v>20.0</v>
      </c>
      <c r="O48" s="56">
        <v>22.0</v>
      </c>
      <c r="P48" s="57" t="s">
        <v>230</v>
      </c>
      <c r="Q48" s="58" t="s">
        <v>231</v>
      </c>
      <c r="R48" s="58">
        <v>62.0</v>
      </c>
      <c r="S48" s="59">
        <v>4.8</v>
      </c>
      <c r="T48" s="58">
        <v>3.5</v>
      </c>
      <c r="U48" s="58">
        <v>7.0</v>
      </c>
      <c r="V48" s="60">
        <v>65.25</v>
      </c>
      <c r="W48" s="60" t="s">
        <v>14</v>
      </c>
      <c r="X48" s="58" t="s">
        <v>232</v>
      </c>
    </row>
    <row r="49" ht="22.5" customHeight="1">
      <c r="A49" s="47" t="s">
        <v>100</v>
      </c>
      <c r="B49" s="47" t="s">
        <v>233</v>
      </c>
      <c r="C49" s="49" t="s">
        <v>226</v>
      </c>
      <c r="D49" s="50" t="s">
        <v>102</v>
      </c>
      <c r="E49" s="51">
        <v>2.3</v>
      </c>
      <c r="F49" s="52" t="s">
        <v>94</v>
      </c>
      <c r="G49" s="51" t="s">
        <v>14</v>
      </c>
      <c r="H49" s="53" t="s">
        <v>95</v>
      </c>
      <c r="I49" s="51" t="s">
        <v>14</v>
      </c>
      <c r="J49" s="52"/>
      <c r="K49" s="51" t="s">
        <v>14</v>
      </c>
      <c r="L49" s="52"/>
      <c r="M49" s="55" t="s">
        <v>14</v>
      </c>
      <c r="N49" s="56">
        <v>72.0</v>
      </c>
      <c r="O49" s="63">
        <v>208.0</v>
      </c>
      <c r="P49" s="57" t="s">
        <v>227</v>
      </c>
      <c r="Q49" s="58" t="s">
        <v>234</v>
      </c>
      <c r="R49" s="58" t="s">
        <v>14</v>
      </c>
      <c r="S49" s="59" t="s">
        <v>14</v>
      </c>
      <c r="T49" s="58">
        <v>2.5</v>
      </c>
      <c r="U49" s="58">
        <v>8.0</v>
      </c>
      <c r="V49" s="60">
        <v>60.25</v>
      </c>
      <c r="W49" s="60" t="s">
        <v>14</v>
      </c>
      <c r="X49" s="58" t="s">
        <v>189</v>
      </c>
    </row>
    <row r="50" ht="22.5" customHeight="1">
      <c r="A50" s="47" t="s">
        <v>100</v>
      </c>
      <c r="B50" s="48" t="s">
        <v>235</v>
      </c>
      <c r="C50" s="49" t="s">
        <v>226</v>
      </c>
      <c r="D50" s="50" t="s">
        <v>133</v>
      </c>
      <c r="E50" s="51">
        <v>14.7</v>
      </c>
      <c r="F50" s="52" t="s">
        <v>94</v>
      </c>
      <c r="G50" s="51" t="s">
        <v>14</v>
      </c>
      <c r="H50" s="53" t="s">
        <v>95</v>
      </c>
      <c r="I50" s="54">
        <v>185.0</v>
      </c>
      <c r="J50" s="52" t="s">
        <v>95</v>
      </c>
      <c r="K50" s="61">
        <v>226.0</v>
      </c>
      <c r="L50" s="52" t="s">
        <v>95</v>
      </c>
      <c r="M50" s="55" t="s">
        <v>188</v>
      </c>
      <c r="N50" s="51" t="s">
        <v>14</v>
      </c>
      <c r="O50" s="51" t="s">
        <v>14</v>
      </c>
      <c r="P50" s="57" t="s">
        <v>14</v>
      </c>
      <c r="Q50" s="58" t="s">
        <v>236</v>
      </c>
      <c r="R50" s="58">
        <v>49.0</v>
      </c>
      <c r="S50" s="59" t="s">
        <v>14</v>
      </c>
      <c r="T50" s="58">
        <v>4.0</v>
      </c>
      <c r="U50" s="58">
        <v>12.0</v>
      </c>
      <c r="V50" s="60">
        <v>35.5</v>
      </c>
      <c r="W50" s="60">
        <v>0.5</v>
      </c>
      <c r="X50" s="58" t="s">
        <v>237</v>
      </c>
    </row>
    <row r="51" ht="22.5" customHeight="1">
      <c r="A51" s="47" t="s">
        <v>90</v>
      </c>
      <c r="B51" s="48" t="s">
        <v>238</v>
      </c>
      <c r="C51" s="49" t="s">
        <v>226</v>
      </c>
      <c r="D51" s="50" t="s">
        <v>133</v>
      </c>
      <c r="E51" s="51">
        <v>13.0</v>
      </c>
      <c r="F51" s="52" t="s">
        <v>94</v>
      </c>
      <c r="G51" s="51" t="s">
        <v>14</v>
      </c>
      <c r="H51" s="53" t="s">
        <v>95</v>
      </c>
      <c r="I51" s="54">
        <v>414.0</v>
      </c>
      <c r="J51" s="52" t="s">
        <v>94</v>
      </c>
      <c r="K51" s="54">
        <v>608.0</v>
      </c>
      <c r="L51" s="52" t="s">
        <v>94</v>
      </c>
      <c r="M51" s="55" t="s">
        <v>239</v>
      </c>
      <c r="N51" s="51" t="s">
        <v>14</v>
      </c>
      <c r="O51" s="63">
        <v>229.0</v>
      </c>
      <c r="P51" s="57" t="s">
        <v>227</v>
      </c>
      <c r="Q51" s="58" t="s">
        <v>14</v>
      </c>
      <c r="R51" s="58" t="s">
        <v>14</v>
      </c>
      <c r="S51" s="59" t="s">
        <v>14</v>
      </c>
      <c r="T51" s="58">
        <v>5.0</v>
      </c>
      <c r="U51" s="58">
        <v>16.0</v>
      </c>
      <c r="V51" s="60">
        <v>31.0</v>
      </c>
      <c r="W51" s="60">
        <v>0.5</v>
      </c>
      <c r="X51" s="58" t="s">
        <v>153</v>
      </c>
    </row>
    <row r="52" ht="22.5" customHeight="1">
      <c r="A52" s="47" t="s">
        <v>100</v>
      </c>
      <c r="B52" s="47" t="s">
        <v>240</v>
      </c>
      <c r="C52" s="49" t="s">
        <v>226</v>
      </c>
      <c r="D52" s="50" t="s">
        <v>102</v>
      </c>
      <c r="E52" s="51">
        <v>1.8</v>
      </c>
      <c r="F52" s="52" t="s">
        <v>94</v>
      </c>
      <c r="G52" s="51">
        <v>3.0</v>
      </c>
      <c r="H52" s="53" t="s">
        <v>95</v>
      </c>
      <c r="I52" s="51" t="s">
        <v>14</v>
      </c>
      <c r="J52" s="52"/>
      <c r="K52" s="51" t="s">
        <v>14</v>
      </c>
      <c r="L52" s="52"/>
      <c r="M52" s="55" t="s">
        <v>14</v>
      </c>
      <c r="N52" s="56">
        <v>47.0</v>
      </c>
      <c r="O52" s="56">
        <v>92.0</v>
      </c>
      <c r="P52" s="57" t="s">
        <v>227</v>
      </c>
      <c r="Q52" s="58" t="s">
        <v>116</v>
      </c>
      <c r="R52" s="58" t="s">
        <v>14</v>
      </c>
      <c r="S52" s="59">
        <v>18.0</v>
      </c>
      <c r="T52" s="58">
        <v>4.0</v>
      </c>
      <c r="U52" s="58">
        <v>11.0</v>
      </c>
      <c r="V52" s="60">
        <v>66.25</v>
      </c>
      <c r="W52" s="60" t="s">
        <v>14</v>
      </c>
      <c r="X52" s="58" t="s">
        <v>209</v>
      </c>
    </row>
    <row r="53" ht="22.5" customHeight="1">
      <c r="A53" s="47" t="s">
        <v>100</v>
      </c>
      <c r="B53" s="47" t="s">
        <v>241</v>
      </c>
      <c r="C53" s="49" t="s">
        <v>226</v>
      </c>
      <c r="D53" s="50" t="s">
        <v>93</v>
      </c>
      <c r="E53" s="51">
        <v>2.4</v>
      </c>
      <c r="F53" s="52" t="s">
        <v>94</v>
      </c>
      <c r="G53" s="51" t="s">
        <v>14</v>
      </c>
      <c r="H53" s="53" t="s">
        <v>95</v>
      </c>
      <c r="I53" s="51" t="s">
        <v>14</v>
      </c>
      <c r="J53" s="52"/>
      <c r="K53" s="51" t="s">
        <v>14</v>
      </c>
      <c r="L53" s="52"/>
      <c r="M53" s="55" t="s">
        <v>14</v>
      </c>
      <c r="N53" s="56">
        <v>65.0</v>
      </c>
      <c r="O53" s="56">
        <v>155.0</v>
      </c>
      <c r="P53" s="57" t="s">
        <v>188</v>
      </c>
      <c r="Q53" s="58" t="s">
        <v>121</v>
      </c>
      <c r="R53" s="58" t="s">
        <v>14</v>
      </c>
      <c r="S53" s="59" t="s">
        <v>14</v>
      </c>
      <c r="T53" s="58" t="s">
        <v>242</v>
      </c>
      <c r="U53" s="58">
        <v>11.0</v>
      </c>
      <c r="V53" s="60">
        <v>70.5</v>
      </c>
      <c r="W53" s="60" t="s">
        <v>14</v>
      </c>
      <c r="X53" s="58" t="s">
        <v>189</v>
      </c>
    </row>
    <row r="54" ht="22.5" customHeight="1">
      <c r="A54" s="47" t="s">
        <v>90</v>
      </c>
      <c r="B54" s="48" t="s">
        <v>243</v>
      </c>
      <c r="C54" s="49" t="s">
        <v>226</v>
      </c>
      <c r="D54" s="50" t="s">
        <v>112</v>
      </c>
      <c r="E54" s="51">
        <v>2.8</v>
      </c>
      <c r="F54" s="52" t="s">
        <v>94</v>
      </c>
      <c r="G54" s="51">
        <v>3.2</v>
      </c>
      <c r="H54" s="53" t="s">
        <v>95</v>
      </c>
      <c r="I54" s="51" t="s">
        <v>14</v>
      </c>
      <c r="J54" s="52"/>
      <c r="K54" s="66" t="s">
        <v>14</v>
      </c>
      <c r="L54" s="52"/>
      <c r="M54" s="55" t="s">
        <v>14</v>
      </c>
      <c r="N54" s="51" t="s">
        <v>14</v>
      </c>
      <c r="O54" s="72">
        <v>484.0</v>
      </c>
      <c r="P54" s="57" t="s">
        <v>188</v>
      </c>
      <c r="Q54" s="58" t="s">
        <v>244</v>
      </c>
      <c r="R54" s="58" t="s">
        <v>14</v>
      </c>
      <c r="S54" s="59" t="s">
        <v>14</v>
      </c>
      <c r="T54" s="58">
        <v>4.0</v>
      </c>
      <c r="U54" s="58">
        <v>7.0</v>
      </c>
      <c r="V54" s="60">
        <v>50.25</v>
      </c>
      <c r="W54" s="60" t="s">
        <v>14</v>
      </c>
      <c r="X54" s="58" t="s">
        <v>245</v>
      </c>
    </row>
    <row r="55" ht="22.5" customHeight="1">
      <c r="A55" s="47" t="s">
        <v>90</v>
      </c>
      <c r="B55" s="48" t="s">
        <v>246</v>
      </c>
      <c r="C55" s="49" t="s">
        <v>226</v>
      </c>
      <c r="D55" s="50" t="s">
        <v>112</v>
      </c>
      <c r="E55" s="51">
        <v>2.6</v>
      </c>
      <c r="F55" s="52" t="s">
        <v>94</v>
      </c>
      <c r="G55" s="51">
        <v>3.6</v>
      </c>
      <c r="H55" s="53" t="s">
        <v>95</v>
      </c>
      <c r="I55" s="51" t="s">
        <v>14</v>
      </c>
      <c r="J55" s="52"/>
      <c r="K55" s="54">
        <v>337.0</v>
      </c>
      <c r="L55" s="52" t="s">
        <v>120</v>
      </c>
      <c r="M55" s="55" t="s">
        <v>227</v>
      </c>
      <c r="N55" s="56">
        <v>5.0</v>
      </c>
      <c r="O55" s="63">
        <v>266.0</v>
      </c>
      <c r="P55" s="57" t="s">
        <v>227</v>
      </c>
      <c r="Q55" s="58" t="s">
        <v>121</v>
      </c>
      <c r="R55" s="58" t="s">
        <v>14</v>
      </c>
      <c r="S55" s="59" t="s">
        <v>14</v>
      </c>
      <c r="T55" s="58">
        <v>9.0</v>
      </c>
      <c r="U55" s="58">
        <v>14.5</v>
      </c>
      <c r="V55" s="60">
        <v>68.5</v>
      </c>
      <c r="W55" s="60">
        <v>0.0</v>
      </c>
      <c r="X55" s="58" t="s">
        <v>247</v>
      </c>
    </row>
    <row r="56" ht="22.5" customHeight="1">
      <c r="A56" s="47" t="s">
        <v>90</v>
      </c>
      <c r="B56" s="48" t="s">
        <v>248</v>
      </c>
      <c r="C56" s="49" t="s">
        <v>226</v>
      </c>
      <c r="D56" s="50" t="s">
        <v>112</v>
      </c>
      <c r="E56" s="51" t="s">
        <v>14</v>
      </c>
      <c r="F56" s="52" t="s">
        <v>94</v>
      </c>
      <c r="G56" s="51">
        <v>12.5</v>
      </c>
      <c r="H56" s="53" t="s">
        <v>95</v>
      </c>
      <c r="I56" s="51" t="s">
        <v>14</v>
      </c>
      <c r="J56" s="52" t="s">
        <v>95</v>
      </c>
      <c r="K56" s="54">
        <v>657.0</v>
      </c>
      <c r="L56" s="52" t="s">
        <v>95</v>
      </c>
      <c r="M56" s="55"/>
      <c r="N56" s="70" t="s">
        <v>14</v>
      </c>
      <c r="O56" s="70" t="s">
        <v>14</v>
      </c>
      <c r="P56" s="57" t="s">
        <v>14</v>
      </c>
      <c r="Q56" s="58" t="s">
        <v>249</v>
      </c>
      <c r="R56" s="58" t="s">
        <v>14</v>
      </c>
      <c r="S56" s="59" t="s">
        <v>14</v>
      </c>
      <c r="T56" s="58" t="s">
        <v>59</v>
      </c>
      <c r="U56" s="58">
        <v>8.0</v>
      </c>
      <c r="V56" s="60">
        <v>17.0</v>
      </c>
      <c r="W56" s="60" t="s">
        <v>59</v>
      </c>
      <c r="X56" s="58" t="s">
        <v>250</v>
      </c>
    </row>
    <row r="57" ht="22.5" customHeight="1">
      <c r="A57" s="47" t="s">
        <v>90</v>
      </c>
      <c r="B57" s="47" t="s">
        <v>251</v>
      </c>
      <c r="C57" s="49" t="s">
        <v>226</v>
      </c>
      <c r="D57" s="50" t="s">
        <v>93</v>
      </c>
      <c r="E57" s="51">
        <v>6.6</v>
      </c>
      <c r="F57" s="52" t="s">
        <v>94</v>
      </c>
      <c r="G57" s="51" t="s">
        <v>14</v>
      </c>
      <c r="H57" s="53" t="s">
        <v>95</v>
      </c>
      <c r="I57" s="54">
        <v>153.0</v>
      </c>
      <c r="J57" s="52" t="s">
        <v>94</v>
      </c>
      <c r="K57" s="54">
        <v>362.0</v>
      </c>
      <c r="L57" s="52" t="s">
        <v>94</v>
      </c>
      <c r="M57" s="55" t="s">
        <v>227</v>
      </c>
      <c r="N57" s="51" t="s">
        <v>14</v>
      </c>
      <c r="O57" s="51" t="s">
        <v>14</v>
      </c>
      <c r="P57" s="57" t="s">
        <v>14</v>
      </c>
      <c r="Q57" s="58" t="s">
        <v>14</v>
      </c>
      <c r="R57" s="58" t="s">
        <v>14</v>
      </c>
      <c r="S57" s="59" t="s">
        <v>14</v>
      </c>
      <c r="T57" s="58">
        <v>3.5</v>
      </c>
      <c r="U57" s="58">
        <v>11.0</v>
      </c>
      <c r="V57" s="60">
        <v>41.25</v>
      </c>
      <c r="W57" s="60" t="s">
        <v>14</v>
      </c>
      <c r="X57" s="58" t="s">
        <v>252</v>
      </c>
    </row>
    <row r="58" ht="22.5" customHeight="1">
      <c r="A58" s="47" t="s">
        <v>90</v>
      </c>
      <c r="B58" s="48" t="s">
        <v>253</v>
      </c>
      <c r="C58" s="49" t="s">
        <v>226</v>
      </c>
      <c r="D58" s="50" t="s">
        <v>143</v>
      </c>
      <c r="E58" s="51">
        <v>1.0</v>
      </c>
      <c r="F58" s="52" t="s">
        <v>94</v>
      </c>
      <c r="G58" s="51">
        <v>3.1</v>
      </c>
      <c r="H58" s="53" t="s">
        <v>95</v>
      </c>
      <c r="I58" s="51" t="s">
        <v>14</v>
      </c>
      <c r="J58" s="52"/>
      <c r="K58" s="51" t="s">
        <v>14</v>
      </c>
      <c r="L58" s="52"/>
      <c r="M58" s="55" t="s">
        <v>14</v>
      </c>
      <c r="N58" s="63">
        <v>137.0</v>
      </c>
      <c r="O58" s="63">
        <v>492.0</v>
      </c>
      <c r="P58" s="57" t="s">
        <v>239</v>
      </c>
      <c r="Q58" s="58" t="s">
        <v>14</v>
      </c>
      <c r="R58" s="58" t="s">
        <v>14</v>
      </c>
      <c r="S58" s="59">
        <v>8.0</v>
      </c>
      <c r="T58" s="58">
        <v>6.0</v>
      </c>
      <c r="U58" s="58">
        <v>16.0</v>
      </c>
      <c r="V58" s="60">
        <v>55.25</v>
      </c>
      <c r="W58" s="60" t="s">
        <v>14</v>
      </c>
      <c r="X58" s="58" t="s">
        <v>254</v>
      </c>
    </row>
    <row r="59" ht="22.5" customHeight="1">
      <c r="A59" s="47" t="s">
        <v>100</v>
      </c>
      <c r="B59" s="48" t="s">
        <v>255</v>
      </c>
      <c r="C59" s="49" t="s">
        <v>226</v>
      </c>
      <c r="D59" s="50" t="s">
        <v>143</v>
      </c>
      <c r="E59" s="51">
        <v>1.3</v>
      </c>
      <c r="F59" s="52" t="s">
        <v>94</v>
      </c>
      <c r="G59" s="51">
        <v>7.1</v>
      </c>
      <c r="H59" s="53" t="s">
        <v>95</v>
      </c>
      <c r="I59" s="51" t="s">
        <v>14</v>
      </c>
      <c r="J59" s="52"/>
      <c r="K59" s="61">
        <v>184.0</v>
      </c>
      <c r="L59" s="52" t="s">
        <v>95</v>
      </c>
      <c r="M59" s="55" t="s">
        <v>188</v>
      </c>
      <c r="N59" s="56">
        <v>8.0</v>
      </c>
      <c r="O59" s="56">
        <v>42.0</v>
      </c>
      <c r="P59" s="57" t="s">
        <v>227</v>
      </c>
      <c r="Q59" s="58" t="s">
        <v>116</v>
      </c>
      <c r="R59" s="58">
        <v>35.0</v>
      </c>
      <c r="S59" s="59" t="s">
        <v>14</v>
      </c>
      <c r="T59" s="58" t="s">
        <v>256</v>
      </c>
      <c r="U59" s="58">
        <v>11.0</v>
      </c>
      <c r="V59" s="60">
        <v>66.25</v>
      </c>
      <c r="W59" s="60" t="s">
        <v>14</v>
      </c>
      <c r="X59" s="58" t="s">
        <v>257</v>
      </c>
    </row>
    <row r="60" ht="22.5" customHeight="1">
      <c r="A60" s="47" t="s">
        <v>90</v>
      </c>
      <c r="B60" s="47" t="s">
        <v>258</v>
      </c>
      <c r="C60" s="49" t="s">
        <v>259</v>
      </c>
      <c r="D60" s="50" t="s">
        <v>102</v>
      </c>
      <c r="E60" s="51">
        <v>3.5</v>
      </c>
      <c r="F60" s="52" t="s">
        <v>94</v>
      </c>
      <c r="G60" s="51">
        <v>9.8</v>
      </c>
      <c r="H60" s="53" t="s">
        <v>95</v>
      </c>
      <c r="I60" s="54">
        <v>302.0</v>
      </c>
      <c r="J60" s="52" t="s">
        <v>95</v>
      </c>
      <c r="K60" s="54">
        <v>392.0</v>
      </c>
      <c r="L60" s="52" t="s">
        <v>95</v>
      </c>
      <c r="M60" s="55" t="s">
        <v>194</v>
      </c>
      <c r="N60" s="51" t="s">
        <v>14</v>
      </c>
      <c r="O60" s="51" t="s">
        <v>14</v>
      </c>
      <c r="P60" s="57" t="s">
        <v>14</v>
      </c>
      <c r="Q60" s="58" t="s">
        <v>14</v>
      </c>
      <c r="R60" s="58" t="s">
        <v>14</v>
      </c>
      <c r="S60" s="59" t="s">
        <v>14</v>
      </c>
      <c r="T60" s="58">
        <v>4.5</v>
      </c>
      <c r="U60" s="58">
        <v>19.0</v>
      </c>
      <c r="V60" s="60">
        <v>50.5</v>
      </c>
      <c r="W60" s="60" t="s">
        <v>14</v>
      </c>
      <c r="X60" s="58" t="s">
        <v>189</v>
      </c>
    </row>
    <row r="61" ht="22.5" customHeight="1">
      <c r="A61" s="47" t="s">
        <v>90</v>
      </c>
      <c r="B61" s="47" t="s">
        <v>260</v>
      </c>
      <c r="C61" s="49" t="s">
        <v>259</v>
      </c>
      <c r="D61" s="50" t="s">
        <v>93</v>
      </c>
      <c r="E61" s="51">
        <v>3.4</v>
      </c>
      <c r="F61" s="52" t="s">
        <v>94</v>
      </c>
      <c r="G61" s="51">
        <v>9.9</v>
      </c>
      <c r="H61" s="53" t="s">
        <v>95</v>
      </c>
      <c r="I61" s="54">
        <v>252.0</v>
      </c>
      <c r="J61" s="52" t="s">
        <v>95</v>
      </c>
      <c r="K61" s="54">
        <v>437.0</v>
      </c>
      <c r="L61" s="52" t="s">
        <v>95</v>
      </c>
      <c r="M61" s="55" t="s">
        <v>261</v>
      </c>
      <c r="N61" s="51" t="s">
        <v>14</v>
      </c>
      <c r="O61" s="56">
        <v>94.0</v>
      </c>
      <c r="P61" s="57" t="s">
        <v>194</v>
      </c>
      <c r="Q61" s="58" t="s">
        <v>116</v>
      </c>
      <c r="R61" s="58" t="s">
        <v>14</v>
      </c>
      <c r="S61" s="59" t="s">
        <v>14</v>
      </c>
      <c r="T61" s="58">
        <v>4.0</v>
      </c>
      <c r="U61" s="58">
        <v>15.0</v>
      </c>
      <c r="V61" s="60">
        <v>68.5</v>
      </c>
      <c r="W61" s="60" t="s">
        <v>14</v>
      </c>
      <c r="X61" s="58" t="s">
        <v>189</v>
      </c>
    </row>
    <row r="62" ht="22.5" customHeight="1">
      <c r="A62" s="47" t="s">
        <v>100</v>
      </c>
      <c r="B62" s="47" t="s">
        <v>262</v>
      </c>
      <c r="C62" s="49" t="s">
        <v>259</v>
      </c>
      <c r="D62" s="50" t="s">
        <v>93</v>
      </c>
      <c r="E62" s="51">
        <v>2.4</v>
      </c>
      <c r="F62" s="52" t="s">
        <v>94</v>
      </c>
      <c r="G62" s="51">
        <v>3.5</v>
      </c>
      <c r="H62" s="53" t="s">
        <v>95</v>
      </c>
      <c r="I62" s="51" t="s">
        <v>14</v>
      </c>
      <c r="J62" s="52"/>
      <c r="K62" s="51" t="s">
        <v>14</v>
      </c>
      <c r="L62" s="52"/>
      <c r="M62" s="55" t="s">
        <v>14</v>
      </c>
      <c r="N62" s="56">
        <v>20.0</v>
      </c>
      <c r="O62" s="56">
        <v>24.0</v>
      </c>
      <c r="P62" s="57" t="s">
        <v>261</v>
      </c>
      <c r="Q62" s="58" t="s">
        <v>121</v>
      </c>
      <c r="R62" s="58">
        <v>35.0</v>
      </c>
      <c r="S62" s="59">
        <v>12.0</v>
      </c>
      <c r="T62" s="58" t="s">
        <v>201</v>
      </c>
      <c r="U62" s="58">
        <v>9.0</v>
      </c>
      <c r="V62" s="60">
        <v>61.5</v>
      </c>
      <c r="W62" s="60" t="s">
        <v>14</v>
      </c>
      <c r="X62" s="58" t="s">
        <v>263</v>
      </c>
    </row>
    <row r="63" ht="22.5" customHeight="1">
      <c r="A63" s="47" t="s">
        <v>100</v>
      </c>
      <c r="B63" s="47" t="s">
        <v>264</v>
      </c>
      <c r="C63" s="49" t="s">
        <v>259</v>
      </c>
      <c r="D63" s="50" t="s">
        <v>102</v>
      </c>
      <c r="E63" s="51">
        <v>2.5</v>
      </c>
      <c r="F63" s="52" t="s">
        <v>94</v>
      </c>
      <c r="G63" s="51" t="s">
        <v>14</v>
      </c>
      <c r="H63" s="53" t="s">
        <v>95</v>
      </c>
      <c r="I63" s="51" t="s">
        <v>14</v>
      </c>
      <c r="J63" s="52"/>
      <c r="K63" s="51" t="s">
        <v>14</v>
      </c>
      <c r="L63" s="52"/>
      <c r="M63" s="55" t="s">
        <v>14</v>
      </c>
      <c r="N63" s="56">
        <v>85.0</v>
      </c>
      <c r="O63" s="63">
        <v>183.0</v>
      </c>
      <c r="P63" s="57" t="s">
        <v>261</v>
      </c>
      <c r="Q63" s="58" t="s">
        <v>14</v>
      </c>
      <c r="R63" s="58">
        <v>0.3</v>
      </c>
      <c r="S63" s="59">
        <v>6.0</v>
      </c>
      <c r="T63" s="58" t="s">
        <v>265</v>
      </c>
      <c r="U63" s="58">
        <v>12.0</v>
      </c>
      <c r="V63" s="60">
        <v>53.25</v>
      </c>
      <c r="W63" s="60">
        <v>0.0</v>
      </c>
      <c r="X63" s="58" t="s">
        <v>189</v>
      </c>
    </row>
    <row r="64" ht="22.5" customHeight="1">
      <c r="A64" s="47" t="s">
        <v>100</v>
      </c>
      <c r="B64" s="48" t="s">
        <v>266</v>
      </c>
      <c r="C64" s="49" t="s">
        <v>259</v>
      </c>
      <c r="D64" s="50" t="s">
        <v>102</v>
      </c>
      <c r="E64" s="51">
        <v>1.0</v>
      </c>
      <c r="F64" s="52" t="s">
        <v>94</v>
      </c>
      <c r="G64" s="51">
        <v>2.2</v>
      </c>
      <c r="H64" s="53" t="s">
        <v>95</v>
      </c>
      <c r="I64" s="51" t="s">
        <v>14</v>
      </c>
      <c r="J64" s="52"/>
      <c r="K64" s="51" t="s">
        <v>14</v>
      </c>
      <c r="L64" s="52"/>
      <c r="M64" s="55" t="s">
        <v>14</v>
      </c>
      <c r="N64" s="56">
        <v>54.0</v>
      </c>
      <c r="O64" s="56">
        <v>95.0</v>
      </c>
      <c r="P64" s="57" t="s">
        <v>261</v>
      </c>
      <c r="Q64" s="58" t="s">
        <v>180</v>
      </c>
      <c r="R64" s="58" t="s">
        <v>14</v>
      </c>
      <c r="S64" s="59">
        <v>20.0</v>
      </c>
      <c r="T64" s="58">
        <v>4.0</v>
      </c>
      <c r="U64" s="58">
        <v>10.0</v>
      </c>
      <c r="V64" s="60">
        <v>64.5</v>
      </c>
      <c r="W64" s="60" t="s">
        <v>14</v>
      </c>
      <c r="X64" s="58" t="s">
        <v>189</v>
      </c>
    </row>
    <row r="65" ht="22.5" customHeight="1">
      <c r="A65" s="47" t="s">
        <v>100</v>
      </c>
      <c r="B65" s="47" t="s">
        <v>267</v>
      </c>
      <c r="C65" s="49" t="s">
        <v>259</v>
      </c>
      <c r="D65" s="50" t="s">
        <v>143</v>
      </c>
      <c r="E65" s="51">
        <v>1.9</v>
      </c>
      <c r="F65" s="52" t="s">
        <v>94</v>
      </c>
      <c r="G65" s="51" t="s">
        <v>14</v>
      </c>
      <c r="H65" s="53" t="s">
        <v>95</v>
      </c>
      <c r="I65" s="56">
        <v>2.0</v>
      </c>
      <c r="J65" s="52" t="s">
        <v>94</v>
      </c>
      <c r="K65" s="56">
        <v>51.0</v>
      </c>
      <c r="L65" s="52" t="s">
        <v>94</v>
      </c>
      <c r="M65" s="55" t="s">
        <v>14</v>
      </c>
      <c r="N65" s="51" t="s">
        <v>14</v>
      </c>
      <c r="O65" s="51" t="s">
        <v>14</v>
      </c>
      <c r="P65" s="57" t="s">
        <v>14</v>
      </c>
      <c r="Q65" s="58" t="s">
        <v>268</v>
      </c>
      <c r="R65" s="58">
        <v>94.0</v>
      </c>
      <c r="S65" s="59" t="s">
        <v>14</v>
      </c>
      <c r="T65" s="58" t="s">
        <v>269</v>
      </c>
      <c r="U65" s="58">
        <v>2.0</v>
      </c>
      <c r="V65" s="60">
        <v>51.75</v>
      </c>
      <c r="W65" s="60" t="s">
        <v>14</v>
      </c>
      <c r="X65" s="58" t="s">
        <v>14</v>
      </c>
    </row>
    <row r="66" ht="22.5" customHeight="1">
      <c r="A66" s="47" t="s">
        <v>90</v>
      </c>
      <c r="B66" s="48" t="s">
        <v>270</v>
      </c>
      <c r="C66" s="49" t="s">
        <v>259</v>
      </c>
      <c r="D66" s="50" t="s">
        <v>112</v>
      </c>
      <c r="E66" s="51">
        <v>9.9</v>
      </c>
      <c r="F66" s="52" t="s">
        <v>94</v>
      </c>
      <c r="G66" s="51">
        <v>12.4</v>
      </c>
      <c r="H66" s="53" t="s">
        <v>95</v>
      </c>
      <c r="I66" s="54">
        <v>369.0</v>
      </c>
      <c r="J66" s="52" t="s">
        <v>95</v>
      </c>
      <c r="K66" s="54">
        <v>591.0</v>
      </c>
      <c r="L66" s="52" t="s">
        <v>95</v>
      </c>
      <c r="M66" s="55" t="s">
        <v>261</v>
      </c>
      <c r="N66" s="51" t="s">
        <v>14</v>
      </c>
      <c r="O66" s="73" t="s">
        <v>14</v>
      </c>
      <c r="P66" s="57" t="s">
        <v>14</v>
      </c>
      <c r="Q66" s="58" t="s">
        <v>14</v>
      </c>
      <c r="R66" s="58">
        <v>13.0</v>
      </c>
      <c r="S66" s="59" t="s">
        <v>14</v>
      </c>
      <c r="T66" s="58">
        <v>4.0</v>
      </c>
      <c r="U66" s="58">
        <v>14.0</v>
      </c>
      <c r="V66" s="60">
        <v>49.0</v>
      </c>
      <c r="W66" s="60">
        <v>0.5</v>
      </c>
      <c r="X66" s="58" t="s">
        <v>218</v>
      </c>
    </row>
    <row r="67" ht="22.5" customHeight="1">
      <c r="A67" s="47" t="s">
        <v>100</v>
      </c>
      <c r="B67" s="47" t="s">
        <v>271</v>
      </c>
      <c r="C67" s="49" t="s">
        <v>259</v>
      </c>
      <c r="D67" s="50" t="s">
        <v>143</v>
      </c>
      <c r="E67" s="51">
        <v>2.3</v>
      </c>
      <c r="F67" s="52" t="s">
        <v>94</v>
      </c>
      <c r="G67" s="51" t="s">
        <v>14</v>
      </c>
      <c r="H67" s="53" t="s">
        <v>95</v>
      </c>
      <c r="I67" s="51" t="s">
        <v>14</v>
      </c>
      <c r="J67" s="52"/>
      <c r="K67" s="51" t="s">
        <v>14</v>
      </c>
      <c r="L67" s="52"/>
      <c r="M67" s="55" t="s">
        <v>14</v>
      </c>
      <c r="N67" s="56">
        <v>67.0</v>
      </c>
      <c r="O67" s="56">
        <v>109.0</v>
      </c>
      <c r="P67" s="57" t="s">
        <v>261</v>
      </c>
      <c r="Q67" s="58" t="s">
        <v>272</v>
      </c>
      <c r="R67" s="58" t="s">
        <v>14</v>
      </c>
      <c r="S67" s="59" t="s">
        <v>14</v>
      </c>
      <c r="T67" s="58" t="s">
        <v>273</v>
      </c>
      <c r="U67" s="58">
        <v>8.0</v>
      </c>
      <c r="V67" s="60">
        <v>75.5</v>
      </c>
      <c r="W67" s="60">
        <v>0.0</v>
      </c>
      <c r="X67" s="58" t="s">
        <v>274</v>
      </c>
    </row>
    <row r="68" ht="22.5" customHeight="1">
      <c r="A68" s="47" t="s">
        <v>90</v>
      </c>
      <c r="B68" s="48" t="s">
        <v>275</v>
      </c>
      <c r="C68" s="49" t="s">
        <v>259</v>
      </c>
      <c r="D68" s="50" t="s">
        <v>112</v>
      </c>
      <c r="E68" s="51">
        <v>1.0</v>
      </c>
      <c r="F68" s="52" t="s">
        <v>94</v>
      </c>
      <c r="G68" s="51">
        <v>2.8</v>
      </c>
      <c r="H68" s="53" t="s">
        <v>95</v>
      </c>
      <c r="I68" s="51" t="s">
        <v>14</v>
      </c>
      <c r="J68" s="52"/>
      <c r="K68" s="51" t="s">
        <v>14</v>
      </c>
      <c r="L68" s="52"/>
      <c r="M68" s="55" t="s">
        <v>14</v>
      </c>
      <c r="N68" s="56">
        <v>29.0</v>
      </c>
      <c r="O68" s="56">
        <v>128.0</v>
      </c>
      <c r="P68" s="57" t="s">
        <v>261</v>
      </c>
      <c r="Q68" s="58" t="s">
        <v>104</v>
      </c>
      <c r="R68" s="58" t="s">
        <v>14</v>
      </c>
      <c r="S68" s="59">
        <v>13.0</v>
      </c>
      <c r="T68" s="58" t="s">
        <v>276</v>
      </c>
      <c r="U68" s="58">
        <v>12.0</v>
      </c>
      <c r="V68" s="60">
        <v>54.5</v>
      </c>
      <c r="W68" s="60" t="s">
        <v>14</v>
      </c>
      <c r="X68" s="58" t="s">
        <v>277</v>
      </c>
    </row>
    <row r="69" ht="22.5" customHeight="1">
      <c r="A69" s="47" t="s">
        <v>90</v>
      </c>
      <c r="B69" s="48" t="s">
        <v>278</v>
      </c>
      <c r="C69" s="49" t="s">
        <v>259</v>
      </c>
      <c r="D69" s="50" t="s">
        <v>102</v>
      </c>
      <c r="E69" s="51">
        <v>9.9</v>
      </c>
      <c r="F69" s="52" t="s">
        <v>94</v>
      </c>
      <c r="G69" s="51">
        <v>13.3</v>
      </c>
      <c r="H69" s="53" t="s">
        <v>95</v>
      </c>
      <c r="I69" s="74">
        <v>473.0</v>
      </c>
      <c r="J69" s="52" t="s">
        <v>95</v>
      </c>
      <c r="K69" s="54">
        <v>1008.0</v>
      </c>
      <c r="L69" s="52" t="s">
        <v>94</v>
      </c>
      <c r="M69" s="55" t="s">
        <v>194</v>
      </c>
      <c r="N69" s="51" t="s">
        <v>14</v>
      </c>
      <c r="O69" s="51" t="s">
        <v>14</v>
      </c>
      <c r="P69" s="57" t="s">
        <v>14</v>
      </c>
      <c r="Q69" s="58" t="s">
        <v>14</v>
      </c>
      <c r="R69" s="58" t="s">
        <v>14</v>
      </c>
      <c r="S69" s="59" t="s">
        <v>14</v>
      </c>
      <c r="T69" s="58">
        <v>4.0</v>
      </c>
      <c r="U69" s="58">
        <v>11.0</v>
      </c>
      <c r="V69" s="60">
        <v>20.0</v>
      </c>
      <c r="W69" s="60">
        <v>0.3</v>
      </c>
      <c r="X69" s="58" t="s">
        <v>279</v>
      </c>
    </row>
    <row r="70" ht="22.5" customHeight="1">
      <c r="A70" s="47" t="s">
        <v>100</v>
      </c>
      <c r="B70" s="47" t="s">
        <v>280</v>
      </c>
      <c r="C70" s="49" t="s">
        <v>259</v>
      </c>
      <c r="D70" s="50" t="s">
        <v>133</v>
      </c>
      <c r="E70" s="51">
        <v>11.0</v>
      </c>
      <c r="F70" s="52" t="s">
        <v>94</v>
      </c>
      <c r="G70" s="51">
        <v>12.6</v>
      </c>
      <c r="H70" s="53" t="s">
        <v>95</v>
      </c>
      <c r="I70" s="54">
        <v>242.0</v>
      </c>
      <c r="J70" s="52" t="s">
        <v>94</v>
      </c>
      <c r="K70" s="54">
        <v>426.0</v>
      </c>
      <c r="L70" s="52" t="s">
        <v>95</v>
      </c>
      <c r="M70" s="55" t="s">
        <v>281</v>
      </c>
      <c r="N70" s="51" t="s">
        <v>14</v>
      </c>
      <c r="O70" s="66" t="s">
        <v>14</v>
      </c>
      <c r="P70" s="57" t="s">
        <v>14</v>
      </c>
      <c r="Q70" s="58" t="s">
        <v>14</v>
      </c>
      <c r="R70" s="58" t="s">
        <v>14</v>
      </c>
      <c r="S70" s="59" t="s">
        <v>14</v>
      </c>
      <c r="T70" s="58" t="s">
        <v>282</v>
      </c>
      <c r="U70" s="58">
        <v>4.0</v>
      </c>
      <c r="V70" s="60">
        <v>57.75</v>
      </c>
      <c r="W70" s="60">
        <v>0.5</v>
      </c>
      <c r="X70" s="58" t="s">
        <v>283</v>
      </c>
    </row>
    <row r="71" ht="22.5" customHeight="1">
      <c r="A71" s="47" t="s">
        <v>90</v>
      </c>
      <c r="B71" s="47" t="s">
        <v>284</v>
      </c>
      <c r="C71" s="49" t="s">
        <v>259</v>
      </c>
      <c r="D71" s="50" t="s">
        <v>102</v>
      </c>
      <c r="E71" s="51">
        <v>1.1</v>
      </c>
      <c r="F71" s="52" t="s">
        <v>94</v>
      </c>
      <c r="G71" s="51">
        <v>3.2</v>
      </c>
      <c r="H71" s="53" t="s">
        <v>95</v>
      </c>
      <c r="I71" s="70" t="s">
        <v>14</v>
      </c>
      <c r="J71" s="52"/>
      <c r="K71" s="51" t="s">
        <v>59</v>
      </c>
      <c r="L71" s="52"/>
      <c r="M71" s="55" t="s">
        <v>14</v>
      </c>
      <c r="N71" s="56">
        <v>14.0</v>
      </c>
      <c r="O71" s="56">
        <v>25.0</v>
      </c>
      <c r="P71" s="57" t="s">
        <v>261</v>
      </c>
      <c r="Q71" s="58" t="s">
        <v>14</v>
      </c>
      <c r="R71" s="58">
        <v>101.0</v>
      </c>
      <c r="S71" s="59" t="s">
        <v>14</v>
      </c>
      <c r="T71" s="58">
        <v>0.0</v>
      </c>
      <c r="U71" s="58">
        <v>7.0</v>
      </c>
      <c r="V71" s="60">
        <v>39.0</v>
      </c>
      <c r="W71" s="60" t="s">
        <v>14</v>
      </c>
      <c r="X71" s="58" t="s">
        <v>285</v>
      </c>
    </row>
    <row r="72" ht="22.5" customHeight="1">
      <c r="A72" s="47" t="s">
        <v>100</v>
      </c>
      <c r="B72" s="47" t="s">
        <v>286</v>
      </c>
      <c r="C72" s="49" t="s">
        <v>259</v>
      </c>
      <c r="D72" s="50" t="s">
        <v>133</v>
      </c>
      <c r="E72" s="51">
        <v>2.3</v>
      </c>
      <c r="F72" s="52" t="s">
        <v>94</v>
      </c>
      <c r="G72" s="51">
        <v>3.4</v>
      </c>
      <c r="H72" s="53" t="s">
        <v>95</v>
      </c>
      <c r="I72" s="56">
        <v>50.0</v>
      </c>
      <c r="J72" s="52" t="s">
        <v>94</v>
      </c>
      <c r="K72" s="56">
        <v>88.0</v>
      </c>
      <c r="L72" s="52" t="s">
        <v>95</v>
      </c>
      <c r="M72" s="55" t="s">
        <v>194</v>
      </c>
      <c r="N72" s="51" t="s">
        <v>14</v>
      </c>
      <c r="O72" s="51" t="s">
        <v>14</v>
      </c>
      <c r="P72" s="57" t="s">
        <v>14</v>
      </c>
      <c r="Q72" s="58" t="s">
        <v>287</v>
      </c>
      <c r="R72" s="58" t="s">
        <v>14</v>
      </c>
      <c r="S72" s="59" t="s">
        <v>14</v>
      </c>
      <c r="T72" s="58" t="s">
        <v>201</v>
      </c>
      <c r="U72" s="58">
        <v>7.0</v>
      </c>
      <c r="V72" s="60">
        <v>61.25</v>
      </c>
      <c r="W72" s="60" t="s">
        <v>14</v>
      </c>
      <c r="X72" s="58" t="s">
        <v>288</v>
      </c>
    </row>
    <row r="73" ht="22.5" customHeight="1">
      <c r="A73" s="47" t="s">
        <v>100</v>
      </c>
      <c r="B73" s="48" t="s">
        <v>289</v>
      </c>
      <c r="C73" s="49" t="s">
        <v>259</v>
      </c>
      <c r="D73" s="50" t="s">
        <v>112</v>
      </c>
      <c r="E73" s="68">
        <v>2.0</v>
      </c>
      <c r="F73" s="52" t="s">
        <v>94</v>
      </c>
      <c r="G73" s="51">
        <v>3.5</v>
      </c>
      <c r="H73" s="53" t="s">
        <v>95</v>
      </c>
      <c r="I73" s="51" t="s">
        <v>14</v>
      </c>
      <c r="J73" s="52"/>
      <c r="K73" s="51" t="s">
        <v>14</v>
      </c>
      <c r="L73" s="52"/>
      <c r="M73" s="55" t="s">
        <v>14</v>
      </c>
      <c r="N73" s="56">
        <v>9.0</v>
      </c>
      <c r="O73" s="56">
        <v>69.0</v>
      </c>
      <c r="P73" s="57" t="s">
        <v>194</v>
      </c>
      <c r="Q73" s="58" t="s">
        <v>14</v>
      </c>
      <c r="R73" s="58">
        <v>110.0</v>
      </c>
      <c r="S73" s="59" t="s">
        <v>14</v>
      </c>
      <c r="T73" s="58" t="s">
        <v>290</v>
      </c>
      <c r="U73" s="58">
        <v>13.0</v>
      </c>
      <c r="V73" s="60">
        <v>66.0</v>
      </c>
      <c r="W73" s="60" t="s">
        <v>14</v>
      </c>
      <c r="X73" s="58" t="s">
        <v>291</v>
      </c>
    </row>
    <row r="74" ht="22.5" customHeight="1">
      <c r="A74" s="47" t="s">
        <v>90</v>
      </c>
      <c r="B74" s="48" t="s">
        <v>292</v>
      </c>
      <c r="C74" s="49" t="s">
        <v>259</v>
      </c>
      <c r="D74" s="50" t="s">
        <v>143</v>
      </c>
      <c r="E74" s="51">
        <v>1.0</v>
      </c>
      <c r="F74" s="52" t="s">
        <v>94</v>
      </c>
      <c r="G74" s="51">
        <v>2.6</v>
      </c>
      <c r="H74" s="53" t="s">
        <v>95</v>
      </c>
      <c r="I74" s="51" t="s">
        <v>14</v>
      </c>
      <c r="J74" s="52"/>
      <c r="K74" s="51" t="s">
        <v>14</v>
      </c>
      <c r="L74" s="52"/>
      <c r="M74" s="55" t="s">
        <v>14</v>
      </c>
      <c r="N74" s="56">
        <v>50.0</v>
      </c>
      <c r="O74" s="56">
        <v>61.0</v>
      </c>
      <c r="P74" s="57" t="s">
        <v>194</v>
      </c>
      <c r="Q74" s="58" t="s">
        <v>293</v>
      </c>
      <c r="R74" s="58" t="s">
        <v>14</v>
      </c>
      <c r="S74" s="59" t="s">
        <v>14</v>
      </c>
      <c r="T74" s="58" t="s">
        <v>117</v>
      </c>
      <c r="U74" s="58">
        <v>10.0</v>
      </c>
      <c r="V74" s="60">
        <v>61.25</v>
      </c>
      <c r="W74" s="60">
        <v>0.0</v>
      </c>
      <c r="X74" s="58" t="s">
        <v>189</v>
      </c>
    </row>
    <row r="75" ht="22.5" customHeight="1">
      <c r="A75" s="47" t="s">
        <v>100</v>
      </c>
      <c r="B75" s="47" t="s">
        <v>294</v>
      </c>
      <c r="C75" s="49" t="s">
        <v>259</v>
      </c>
      <c r="D75" s="50" t="s">
        <v>93</v>
      </c>
      <c r="E75" s="51">
        <v>2.8</v>
      </c>
      <c r="F75" s="52" t="s">
        <v>94</v>
      </c>
      <c r="G75" s="51">
        <v>12.7</v>
      </c>
      <c r="H75" s="53" t="s">
        <v>95</v>
      </c>
      <c r="I75" s="56">
        <v>37.0</v>
      </c>
      <c r="J75" s="52" t="s">
        <v>94</v>
      </c>
      <c r="K75" s="54">
        <v>161.0</v>
      </c>
      <c r="L75" s="52" t="s">
        <v>95</v>
      </c>
      <c r="M75" s="55" t="s">
        <v>194</v>
      </c>
      <c r="N75" s="51" t="s">
        <v>14</v>
      </c>
      <c r="O75" s="51" t="s">
        <v>14</v>
      </c>
      <c r="P75" s="57" t="s">
        <v>14</v>
      </c>
      <c r="Q75" s="58" t="s">
        <v>125</v>
      </c>
      <c r="R75" s="58" t="s">
        <v>14</v>
      </c>
      <c r="S75" s="59" t="s">
        <v>14</v>
      </c>
      <c r="T75" s="58">
        <v>5.0</v>
      </c>
      <c r="U75" s="58">
        <v>11.0</v>
      </c>
      <c r="V75" s="60">
        <v>45.5</v>
      </c>
      <c r="W75" s="60" t="s">
        <v>14</v>
      </c>
      <c r="X75" s="58" t="s">
        <v>285</v>
      </c>
    </row>
    <row r="76" ht="22.5" customHeight="1">
      <c r="A76" s="47" t="s">
        <v>90</v>
      </c>
      <c r="B76" s="47" t="s">
        <v>295</v>
      </c>
      <c r="C76" s="49" t="s">
        <v>259</v>
      </c>
      <c r="D76" s="50" t="s">
        <v>133</v>
      </c>
      <c r="E76" s="51">
        <v>12.5</v>
      </c>
      <c r="F76" s="52" t="s">
        <v>94</v>
      </c>
      <c r="G76" s="51" t="s">
        <v>14</v>
      </c>
      <c r="H76" s="53" t="s">
        <v>95</v>
      </c>
      <c r="I76" s="54">
        <v>423.0</v>
      </c>
      <c r="J76" s="52" t="s">
        <v>94</v>
      </c>
      <c r="K76" s="54">
        <v>580.0</v>
      </c>
      <c r="L76" s="52" t="s">
        <v>94</v>
      </c>
      <c r="M76" s="55" t="s">
        <v>296</v>
      </c>
      <c r="N76" s="51" t="s">
        <v>14</v>
      </c>
      <c r="O76" s="51" t="s">
        <v>14</v>
      </c>
      <c r="P76" s="57" t="s">
        <v>14</v>
      </c>
      <c r="Q76" s="58" t="s">
        <v>104</v>
      </c>
      <c r="R76" s="58" t="s">
        <v>14</v>
      </c>
      <c r="S76" s="59" t="s">
        <v>14</v>
      </c>
      <c r="T76" s="58">
        <v>4.0</v>
      </c>
      <c r="U76" s="58">
        <v>5.0</v>
      </c>
      <c r="V76" s="60">
        <v>46.5</v>
      </c>
      <c r="W76" s="60">
        <v>0.5</v>
      </c>
      <c r="X76" s="58" t="s">
        <v>14</v>
      </c>
    </row>
    <row r="77" ht="22.5" customHeight="1">
      <c r="A77" s="47" t="s">
        <v>90</v>
      </c>
      <c r="B77" s="48" t="s">
        <v>297</v>
      </c>
      <c r="C77" s="49" t="s">
        <v>259</v>
      </c>
      <c r="D77" s="50" t="s">
        <v>143</v>
      </c>
      <c r="E77" s="51">
        <v>1.0</v>
      </c>
      <c r="F77" s="52" t="s">
        <v>94</v>
      </c>
      <c r="G77" s="51">
        <v>2.7</v>
      </c>
      <c r="H77" s="53" t="s">
        <v>95</v>
      </c>
      <c r="I77" s="51" t="s">
        <v>14</v>
      </c>
      <c r="J77" s="52"/>
      <c r="K77" s="51" t="s">
        <v>14</v>
      </c>
      <c r="L77" s="52"/>
      <c r="M77" s="55" t="s">
        <v>14</v>
      </c>
      <c r="N77" s="63">
        <v>361.0</v>
      </c>
      <c r="O77" s="63">
        <v>520.0</v>
      </c>
      <c r="P77" s="57" t="s">
        <v>194</v>
      </c>
      <c r="Q77" s="58" t="s">
        <v>104</v>
      </c>
      <c r="R77" s="58">
        <v>70.0</v>
      </c>
      <c r="S77" s="59" t="s">
        <v>14</v>
      </c>
      <c r="T77" s="58">
        <v>4.0</v>
      </c>
      <c r="U77" s="58">
        <v>16.0</v>
      </c>
      <c r="V77" s="60">
        <v>40.5</v>
      </c>
      <c r="W77" s="60" t="s">
        <v>14</v>
      </c>
      <c r="X77" s="58" t="s">
        <v>298</v>
      </c>
    </row>
    <row r="78" ht="22.5" customHeight="1">
      <c r="A78" s="47" t="s">
        <v>90</v>
      </c>
      <c r="B78" s="48" t="s">
        <v>299</v>
      </c>
      <c r="C78" s="49" t="s">
        <v>300</v>
      </c>
      <c r="D78" s="50" t="s">
        <v>143</v>
      </c>
      <c r="E78" s="51">
        <v>9.9</v>
      </c>
      <c r="F78" s="52" t="s">
        <v>94</v>
      </c>
      <c r="G78" s="51">
        <v>12.2</v>
      </c>
      <c r="H78" s="53" t="s">
        <v>95</v>
      </c>
      <c r="I78" s="54">
        <v>371.0</v>
      </c>
      <c r="J78" s="52" t="s">
        <v>94</v>
      </c>
      <c r="K78" s="54">
        <v>560.0</v>
      </c>
      <c r="L78" s="52" t="s">
        <v>94</v>
      </c>
      <c r="M78" s="55" t="s">
        <v>152</v>
      </c>
      <c r="N78" s="51" t="s">
        <v>14</v>
      </c>
      <c r="O78" s="51" t="s">
        <v>14</v>
      </c>
      <c r="P78" s="57" t="s">
        <v>14</v>
      </c>
      <c r="Q78" s="58" t="s">
        <v>14</v>
      </c>
      <c r="R78" s="58">
        <v>20.0</v>
      </c>
      <c r="S78" s="59" t="s">
        <v>14</v>
      </c>
      <c r="T78" s="58">
        <v>5.0</v>
      </c>
      <c r="U78" s="58">
        <v>10.0</v>
      </c>
      <c r="V78" s="60">
        <v>60.0</v>
      </c>
      <c r="W78" s="60">
        <v>0.0</v>
      </c>
      <c r="X78" s="58" t="s">
        <v>301</v>
      </c>
    </row>
    <row r="79" ht="22.5" customHeight="1">
      <c r="A79" s="47" t="s">
        <v>100</v>
      </c>
      <c r="B79" s="47" t="s">
        <v>302</v>
      </c>
      <c r="C79" s="49" t="s">
        <v>300</v>
      </c>
      <c r="D79" s="50" t="s">
        <v>102</v>
      </c>
      <c r="E79" s="51">
        <v>2.3</v>
      </c>
      <c r="F79" s="52" t="s">
        <v>94</v>
      </c>
      <c r="G79" s="51" t="s">
        <v>14</v>
      </c>
      <c r="H79" s="53" t="s">
        <v>95</v>
      </c>
      <c r="I79" s="56">
        <v>14.0</v>
      </c>
      <c r="J79" s="52" t="s">
        <v>94</v>
      </c>
      <c r="K79" s="56">
        <v>28.0</v>
      </c>
      <c r="L79" s="52" t="s">
        <v>94</v>
      </c>
      <c r="M79" s="55" t="s">
        <v>14</v>
      </c>
      <c r="N79" s="51" t="s">
        <v>14</v>
      </c>
      <c r="O79" s="51" t="s">
        <v>14</v>
      </c>
      <c r="P79" s="57" t="s">
        <v>14</v>
      </c>
      <c r="Q79" s="58" t="s">
        <v>303</v>
      </c>
      <c r="R79" s="58">
        <v>33.0</v>
      </c>
      <c r="S79" s="59" t="s">
        <v>14</v>
      </c>
      <c r="T79" s="58">
        <v>2.3</v>
      </c>
      <c r="U79" s="58">
        <v>4.0</v>
      </c>
      <c r="V79" s="60">
        <v>87.25</v>
      </c>
      <c r="W79" s="60" t="s">
        <v>14</v>
      </c>
      <c r="X79" s="58" t="s">
        <v>304</v>
      </c>
    </row>
    <row r="80" ht="22.5" customHeight="1">
      <c r="A80" s="47" t="s">
        <v>100</v>
      </c>
      <c r="B80" s="48" t="s">
        <v>305</v>
      </c>
      <c r="C80" s="49" t="s">
        <v>300</v>
      </c>
      <c r="D80" s="50" t="s">
        <v>102</v>
      </c>
      <c r="E80" s="51">
        <v>1.7</v>
      </c>
      <c r="F80" s="52" t="s">
        <v>94</v>
      </c>
      <c r="G80" s="51">
        <v>2.5</v>
      </c>
      <c r="H80" s="53" t="s">
        <v>95</v>
      </c>
      <c r="I80" s="54">
        <v>236.0</v>
      </c>
      <c r="J80" s="52" t="s">
        <v>120</v>
      </c>
      <c r="K80" s="75">
        <v>357.0</v>
      </c>
      <c r="L80" s="52" t="s">
        <v>120</v>
      </c>
      <c r="M80" s="57" t="s">
        <v>230</v>
      </c>
      <c r="N80" s="63">
        <v>73.0</v>
      </c>
      <c r="O80" s="63">
        <v>330.0</v>
      </c>
      <c r="P80" s="57" t="s">
        <v>230</v>
      </c>
      <c r="Q80" s="58" t="s">
        <v>116</v>
      </c>
      <c r="R80" s="58" t="s">
        <v>14</v>
      </c>
      <c r="S80" s="59" t="s">
        <v>14</v>
      </c>
      <c r="T80" s="58">
        <v>4.0</v>
      </c>
      <c r="U80" s="58">
        <v>7.0</v>
      </c>
      <c r="V80" s="60">
        <v>86.5</v>
      </c>
      <c r="W80" s="60" t="s">
        <v>14</v>
      </c>
      <c r="X80" s="58" t="s">
        <v>306</v>
      </c>
    </row>
    <row r="81" ht="22.5" customHeight="1">
      <c r="A81" s="47" t="s">
        <v>90</v>
      </c>
      <c r="B81" s="47" t="s">
        <v>307</v>
      </c>
      <c r="C81" s="49" t="s">
        <v>300</v>
      </c>
      <c r="D81" s="50" t="s">
        <v>133</v>
      </c>
      <c r="E81" s="51">
        <v>10.2</v>
      </c>
      <c r="F81" s="52" t="s">
        <v>94</v>
      </c>
      <c r="G81" s="51">
        <v>13.9</v>
      </c>
      <c r="H81" s="53" t="s">
        <v>95</v>
      </c>
      <c r="I81" s="54">
        <v>140.0</v>
      </c>
      <c r="J81" s="52" t="s">
        <v>94</v>
      </c>
      <c r="K81" s="54">
        <v>552.0</v>
      </c>
      <c r="L81" s="52" t="s">
        <v>95</v>
      </c>
      <c r="M81" s="55" t="s">
        <v>308</v>
      </c>
      <c r="N81" s="51" t="s">
        <v>14</v>
      </c>
      <c r="O81" s="51" t="s">
        <v>14</v>
      </c>
      <c r="P81" s="57" t="s">
        <v>14</v>
      </c>
      <c r="Q81" s="58" t="s">
        <v>14</v>
      </c>
      <c r="R81" s="58" t="s">
        <v>14</v>
      </c>
      <c r="S81" s="59" t="s">
        <v>14</v>
      </c>
      <c r="T81" s="58" t="s">
        <v>309</v>
      </c>
      <c r="U81" s="58">
        <v>11.0</v>
      </c>
      <c r="V81" s="60">
        <v>61.75</v>
      </c>
      <c r="W81" s="60" t="s">
        <v>14</v>
      </c>
      <c r="X81" s="58" t="s">
        <v>14</v>
      </c>
    </row>
    <row r="82" ht="22.5" customHeight="1">
      <c r="A82" s="47" t="s">
        <v>90</v>
      </c>
      <c r="B82" s="47" t="s">
        <v>310</v>
      </c>
      <c r="C82" s="49" t="s">
        <v>300</v>
      </c>
      <c r="D82" s="50" t="s">
        <v>102</v>
      </c>
      <c r="E82" s="51">
        <v>3.1</v>
      </c>
      <c r="F82" s="52" t="s">
        <v>94</v>
      </c>
      <c r="G82" s="51" t="s">
        <v>14</v>
      </c>
      <c r="H82" s="53" t="s">
        <v>95</v>
      </c>
      <c r="I82" s="66" t="s">
        <v>14</v>
      </c>
      <c r="J82" s="52"/>
      <c r="K82" s="66" t="s">
        <v>14</v>
      </c>
      <c r="L82" s="52"/>
      <c r="M82" s="55" t="s">
        <v>14</v>
      </c>
      <c r="N82" s="63">
        <v>370.0</v>
      </c>
      <c r="O82" s="63">
        <v>706.0</v>
      </c>
      <c r="P82" s="57" t="s">
        <v>203</v>
      </c>
      <c r="Q82" s="58" t="s">
        <v>104</v>
      </c>
      <c r="R82" s="58" t="s">
        <v>14</v>
      </c>
      <c r="S82" s="59" t="s">
        <v>14</v>
      </c>
      <c r="T82" s="58" t="s">
        <v>311</v>
      </c>
      <c r="U82" s="58" t="s">
        <v>59</v>
      </c>
      <c r="V82" s="60" t="s">
        <v>59</v>
      </c>
      <c r="W82" s="60" t="s">
        <v>14</v>
      </c>
      <c r="X82" s="58" t="s">
        <v>312</v>
      </c>
    </row>
    <row r="83" ht="22.5" customHeight="1">
      <c r="A83" s="47" t="s">
        <v>90</v>
      </c>
      <c r="B83" s="47" t="s">
        <v>313</v>
      </c>
      <c r="C83" s="49" t="s">
        <v>300</v>
      </c>
      <c r="D83" s="50" t="s">
        <v>133</v>
      </c>
      <c r="E83" s="51">
        <v>1.5</v>
      </c>
      <c r="F83" s="52" t="s">
        <v>94</v>
      </c>
      <c r="G83" s="51">
        <v>8.7</v>
      </c>
      <c r="H83" s="53" t="s">
        <v>95</v>
      </c>
      <c r="I83" s="54">
        <v>149.0</v>
      </c>
      <c r="J83" s="52" t="s">
        <v>95</v>
      </c>
      <c r="K83" s="54">
        <v>219.0</v>
      </c>
      <c r="L83" s="52" t="s">
        <v>95</v>
      </c>
      <c r="M83" s="55" t="s">
        <v>314</v>
      </c>
      <c r="N83" s="56">
        <v>23.0</v>
      </c>
      <c r="O83" s="63">
        <v>337.0</v>
      </c>
      <c r="P83" s="57" t="s">
        <v>230</v>
      </c>
      <c r="Q83" s="58" t="s">
        <v>14</v>
      </c>
      <c r="R83" s="58">
        <v>16.0</v>
      </c>
      <c r="S83" s="71">
        <v>0.5</v>
      </c>
      <c r="T83" s="58">
        <v>5.0</v>
      </c>
      <c r="U83" s="58">
        <v>11.0</v>
      </c>
      <c r="V83" s="60">
        <v>91.0</v>
      </c>
      <c r="W83" s="60">
        <v>0.0</v>
      </c>
      <c r="X83" s="58" t="s">
        <v>144</v>
      </c>
    </row>
    <row r="84" ht="22.5" customHeight="1">
      <c r="A84" s="47" t="s">
        <v>90</v>
      </c>
      <c r="B84" s="47" t="s">
        <v>315</v>
      </c>
      <c r="C84" s="49" t="s">
        <v>300</v>
      </c>
      <c r="D84" s="50" t="s">
        <v>93</v>
      </c>
      <c r="E84" s="51">
        <v>10.0</v>
      </c>
      <c r="F84" s="52" t="s">
        <v>94</v>
      </c>
      <c r="G84" s="51">
        <v>12.0</v>
      </c>
      <c r="H84" s="53" t="s">
        <v>95</v>
      </c>
      <c r="I84" s="54">
        <v>312.0</v>
      </c>
      <c r="J84" s="52" t="s">
        <v>95</v>
      </c>
      <c r="K84" s="54">
        <v>456.0</v>
      </c>
      <c r="L84" s="52" t="s">
        <v>95</v>
      </c>
      <c r="M84" s="55" t="s">
        <v>316</v>
      </c>
      <c r="N84" s="51" t="s">
        <v>14</v>
      </c>
      <c r="O84" s="51" t="s">
        <v>14</v>
      </c>
      <c r="P84" s="57" t="s">
        <v>14</v>
      </c>
      <c r="Q84" s="58" t="s">
        <v>125</v>
      </c>
      <c r="R84" s="58" t="s">
        <v>14</v>
      </c>
      <c r="S84" s="59" t="s">
        <v>14</v>
      </c>
      <c r="T84" s="58">
        <v>5.0</v>
      </c>
      <c r="U84" s="58">
        <v>15.0</v>
      </c>
      <c r="V84" s="60">
        <v>72.5</v>
      </c>
      <c r="W84" s="60" t="s">
        <v>14</v>
      </c>
      <c r="X84" s="58" t="s">
        <v>14</v>
      </c>
    </row>
    <row r="85" ht="22.5" customHeight="1">
      <c r="A85" s="47" t="s">
        <v>100</v>
      </c>
      <c r="B85" s="48" t="s">
        <v>317</v>
      </c>
      <c r="C85" s="49" t="s">
        <v>300</v>
      </c>
      <c r="D85" s="50" t="s">
        <v>133</v>
      </c>
      <c r="E85" s="68">
        <v>13.9</v>
      </c>
      <c r="F85" s="52" t="s">
        <v>94</v>
      </c>
      <c r="G85" s="51">
        <v>15.0</v>
      </c>
      <c r="H85" s="53" t="s">
        <v>95</v>
      </c>
      <c r="I85" s="54">
        <v>323.0</v>
      </c>
      <c r="J85" s="52" t="s">
        <v>94</v>
      </c>
      <c r="K85" s="54">
        <v>735.0</v>
      </c>
      <c r="L85" s="52" t="s">
        <v>94</v>
      </c>
      <c r="M85" s="55" t="s">
        <v>318</v>
      </c>
      <c r="N85" s="51" t="s">
        <v>14</v>
      </c>
      <c r="O85" s="51" t="s">
        <v>14</v>
      </c>
      <c r="P85" s="57" t="s">
        <v>14</v>
      </c>
      <c r="Q85" s="58" t="s">
        <v>14</v>
      </c>
      <c r="R85" s="58">
        <v>62.0</v>
      </c>
      <c r="S85" s="59" t="s">
        <v>14</v>
      </c>
      <c r="T85" s="58">
        <v>6.0</v>
      </c>
      <c r="U85" s="58">
        <v>7.0</v>
      </c>
      <c r="V85" s="60">
        <v>56.5</v>
      </c>
      <c r="W85" s="60" t="s">
        <v>14</v>
      </c>
      <c r="X85" s="58" t="s">
        <v>319</v>
      </c>
    </row>
    <row r="86" ht="22.5" customHeight="1">
      <c r="A86" s="47" t="s">
        <v>90</v>
      </c>
      <c r="B86" s="47" t="s">
        <v>320</v>
      </c>
      <c r="C86" s="49" t="s">
        <v>300</v>
      </c>
      <c r="D86" s="50" t="s">
        <v>112</v>
      </c>
      <c r="E86" s="51">
        <v>9.6</v>
      </c>
      <c r="F86" s="52" t="s">
        <v>94</v>
      </c>
      <c r="G86" s="51">
        <v>13.8</v>
      </c>
      <c r="H86" s="53" t="s">
        <v>95</v>
      </c>
      <c r="I86" s="54">
        <v>275.0</v>
      </c>
      <c r="J86" s="52" t="s">
        <v>95</v>
      </c>
      <c r="K86" s="54">
        <v>440.0</v>
      </c>
      <c r="L86" s="52" t="s">
        <v>94</v>
      </c>
      <c r="M86" s="55" t="s">
        <v>152</v>
      </c>
      <c r="N86" s="51" t="s">
        <v>14</v>
      </c>
      <c r="O86" s="51" t="s">
        <v>14</v>
      </c>
      <c r="P86" s="57" t="s">
        <v>14</v>
      </c>
      <c r="Q86" s="58" t="s">
        <v>14</v>
      </c>
      <c r="R86" s="58" t="s">
        <v>14</v>
      </c>
      <c r="S86" s="59" t="s">
        <v>14</v>
      </c>
      <c r="T86" s="58" t="s">
        <v>321</v>
      </c>
      <c r="U86" s="58">
        <v>15.0</v>
      </c>
      <c r="V86" s="60">
        <v>56.0</v>
      </c>
      <c r="W86" s="60">
        <v>0.0</v>
      </c>
      <c r="X86" s="58" t="s">
        <v>312</v>
      </c>
    </row>
    <row r="87" ht="22.5" customHeight="1">
      <c r="A87" s="47" t="s">
        <v>90</v>
      </c>
      <c r="B87" s="47" t="s">
        <v>322</v>
      </c>
      <c r="C87" s="49" t="s">
        <v>300</v>
      </c>
      <c r="D87" s="50" t="s">
        <v>93</v>
      </c>
      <c r="E87" s="51">
        <v>12.8</v>
      </c>
      <c r="F87" s="52" t="s">
        <v>94</v>
      </c>
      <c r="G87" s="51" t="s">
        <v>14</v>
      </c>
      <c r="H87" s="53" t="s">
        <v>95</v>
      </c>
      <c r="I87" s="54">
        <v>404.0</v>
      </c>
      <c r="J87" s="52" t="s">
        <v>94</v>
      </c>
      <c r="K87" s="54">
        <v>493.0</v>
      </c>
      <c r="L87" s="52" t="s">
        <v>94</v>
      </c>
      <c r="M87" s="55" t="s">
        <v>14</v>
      </c>
      <c r="N87" s="51" t="s">
        <v>14</v>
      </c>
      <c r="O87" s="51" t="s">
        <v>14</v>
      </c>
      <c r="P87" s="57" t="s">
        <v>14</v>
      </c>
      <c r="Q87" s="58" t="s">
        <v>14</v>
      </c>
      <c r="R87" s="58">
        <v>18.0</v>
      </c>
      <c r="S87" s="59" t="s">
        <v>14</v>
      </c>
      <c r="T87" s="58">
        <v>5.0</v>
      </c>
      <c r="U87" s="58">
        <v>13.0</v>
      </c>
      <c r="V87" s="60">
        <v>41.5</v>
      </c>
      <c r="W87" s="60">
        <v>0.0</v>
      </c>
      <c r="X87" s="58" t="s">
        <v>283</v>
      </c>
    </row>
    <row r="88" ht="22.5" customHeight="1">
      <c r="A88" s="47" t="s">
        <v>90</v>
      </c>
      <c r="B88" s="48" t="s">
        <v>323</v>
      </c>
      <c r="C88" s="49" t="s">
        <v>300</v>
      </c>
      <c r="D88" s="50" t="s">
        <v>133</v>
      </c>
      <c r="E88" s="51">
        <v>3.1</v>
      </c>
      <c r="F88" s="52" t="s">
        <v>94</v>
      </c>
      <c r="G88" s="51">
        <v>9.9</v>
      </c>
      <c r="H88" s="53" t="s">
        <v>95</v>
      </c>
      <c r="I88" s="54">
        <v>446.0</v>
      </c>
      <c r="J88" s="52" t="s">
        <v>95</v>
      </c>
      <c r="K88" s="54">
        <v>1005.0</v>
      </c>
      <c r="L88" s="52" t="s">
        <v>95</v>
      </c>
      <c r="M88" s="55" t="s">
        <v>261</v>
      </c>
      <c r="N88" s="63">
        <v>210.0</v>
      </c>
      <c r="O88" s="63">
        <v>464.0</v>
      </c>
      <c r="P88" s="57" t="s">
        <v>324</v>
      </c>
      <c r="Q88" s="58" t="s">
        <v>116</v>
      </c>
      <c r="R88" s="58" t="s">
        <v>14</v>
      </c>
      <c r="S88" s="59" t="s">
        <v>14</v>
      </c>
      <c r="T88" s="58">
        <v>5.0</v>
      </c>
      <c r="U88" s="58">
        <v>14.0</v>
      </c>
      <c r="V88" s="60">
        <v>93.25</v>
      </c>
      <c r="W88" s="60">
        <v>0.0</v>
      </c>
      <c r="X88" s="58" t="s">
        <v>153</v>
      </c>
    </row>
    <row r="89" ht="22.5" customHeight="1">
      <c r="A89" s="47" t="s">
        <v>100</v>
      </c>
      <c r="B89" s="47" t="s">
        <v>325</v>
      </c>
      <c r="C89" s="49" t="s">
        <v>300</v>
      </c>
      <c r="D89" s="50" t="s">
        <v>133</v>
      </c>
      <c r="E89" s="51">
        <v>2.7</v>
      </c>
      <c r="F89" s="52" t="s">
        <v>94</v>
      </c>
      <c r="G89" s="51" t="s">
        <v>14</v>
      </c>
      <c r="H89" s="53" t="s">
        <v>95</v>
      </c>
      <c r="I89" s="70" t="s">
        <v>14</v>
      </c>
      <c r="J89" s="52"/>
      <c r="K89" s="54">
        <v>281.0</v>
      </c>
      <c r="L89" s="52"/>
      <c r="M89" s="55" t="s">
        <v>326</v>
      </c>
      <c r="N89" s="56">
        <v>30.0</v>
      </c>
      <c r="O89" s="56">
        <v>41.0</v>
      </c>
      <c r="P89" s="57" t="s">
        <v>239</v>
      </c>
      <c r="Q89" s="58" t="s">
        <v>146</v>
      </c>
      <c r="R89" s="58" t="s">
        <v>14</v>
      </c>
      <c r="S89" s="59">
        <v>12.0</v>
      </c>
      <c r="T89" s="58">
        <v>4.0</v>
      </c>
      <c r="U89" s="58">
        <v>10.0</v>
      </c>
      <c r="V89" s="60">
        <v>46.5</v>
      </c>
      <c r="W89" s="60" t="s">
        <v>14</v>
      </c>
      <c r="X89" s="58" t="s">
        <v>327</v>
      </c>
    </row>
    <row r="90" ht="22.5" customHeight="1">
      <c r="A90" s="47" t="s">
        <v>100</v>
      </c>
      <c r="B90" s="47" t="s">
        <v>328</v>
      </c>
      <c r="C90" s="49" t="s">
        <v>300</v>
      </c>
      <c r="D90" s="50" t="s">
        <v>143</v>
      </c>
      <c r="E90" s="51">
        <v>2.5</v>
      </c>
      <c r="F90" s="52" t="s">
        <v>94</v>
      </c>
      <c r="G90" s="51" t="s">
        <v>14</v>
      </c>
      <c r="H90" s="53" t="s">
        <v>95</v>
      </c>
      <c r="I90" s="51" t="s">
        <v>14</v>
      </c>
      <c r="J90" s="52"/>
      <c r="K90" s="51" t="s">
        <v>14</v>
      </c>
      <c r="L90" s="52"/>
      <c r="M90" s="55" t="s">
        <v>14</v>
      </c>
      <c r="N90" s="63">
        <v>191.0</v>
      </c>
      <c r="O90" s="63">
        <v>268.0</v>
      </c>
      <c r="P90" s="57" t="s">
        <v>203</v>
      </c>
      <c r="Q90" s="58" t="s">
        <v>329</v>
      </c>
      <c r="R90" s="58" t="s">
        <v>14</v>
      </c>
      <c r="S90" s="59" t="s">
        <v>14</v>
      </c>
      <c r="T90" s="58">
        <v>4.0</v>
      </c>
      <c r="U90" s="58">
        <v>18.0</v>
      </c>
      <c r="V90" s="60">
        <v>90.0</v>
      </c>
      <c r="W90" s="60" t="s">
        <v>14</v>
      </c>
      <c r="X90" s="58" t="s">
        <v>189</v>
      </c>
    </row>
    <row r="91" ht="22.5" customHeight="1">
      <c r="A91" s="47" t="s">
        <v>100</v>
      </c>
      <c r="B91" s="47" t="s">
        <v>330</v>
      </c>
      <c r="C91" s="49" t="s">
        <v>300</v>
      </c>
      <c r="D91" s="50" t="s">
        <v>143</v>
      </c>
      <c r="E91" s="51">
        <v>2.4</v>
      </c>
      <c r="F91" s="52" t="s">
        <v>94</v>
      </c>
      <c r="G91" s="51">
        <v>2.9</v>
      </c>
      <c r="H91" s="53" t="s">
        <v>95</v>
      </c>
      <c r="I91" s="51" t="s">
        <v>14</v>
      </c>
      <c r="J91" s="52"/>
      <c r="K91" s="51" t="s">
        <v>14</v>
      </c>
      <c r="L91" s="52"/>
      <c r="M91" s="55" t="s">
        <v>14</v>
      </c>
      <c r="N91" s="56">
        <v>31.0</v>
      </c>
      <c r="O91" s="63">
        <v>628.0</v>
      </c>
      <c r="P91" s="55" t="s">
        <v>230</v>
      </c>
      <c r="Q91" s="58" t="s">
        <v>180</v>
      </c>
      <c r="R91" s="58" t="s">
        <v>14</v>
      </c>
      <c r="S91" s="59">
        <v>16.0</v>
      </c>
      <c r="T91" s="58" t="s">
        <v>331</v>
      </c>
      <c r="U91" s="58">
        <v>16.0</v>
      </c>
      <c r="V91" s="60">
        <v>71.25</v>
      </c>
      <c r="W91" s="60" t="s">
        <v>14</v>
      </c>
      <c r="X91" s="58" t="s">
        <v>327</v>
      </c>
    </row>
    <row r="92" ht="22.5" customHeight="1">
      <c r="A92" s="47" t="s">
        <v>90</v>
      </c>
      <c r="B92" s="47" t="s">
        <v>332</v>
      </c>
      <c r="C92" s="49" t="s">
        <v>300</v>
      </c>
      <c r="D92" s="50" t="s">
        <v>143</v>
      </c>
      <c r="E92" s="51">
        <v>9.5</v>
      </c>
      <c r="F92" s="52" t="s">
        <v>94</v>
      </c>
      <c r="G92" s="51">
        <v>11.2</v>
      </c>
      <c r="H92" s="53" t="s">
        <v>95</v>
      </c>
      <c r="I92" s="54">
        <v>342.0</v>
      </c>
      <c r="J92" s="52" t="s">
        <v>95</v>
      </c>
      <c r="K92" s="54">
        <v>628.0</v>
      </c>
      <c r="L92" s="52" t="s">
        <v>95</v>
      </c>
      <c r="M92" s="55" t="s">
        <v>308</v>
      </c>
      <c r="N92" s="51" t="s">
        <v>14</v>
      </c>
      <c r="O92" s="51" t="s">
        <v>14</v>
      </c>
      <c r="P92" s="57" t="s">
        <v>14</v>
      </c>
      <c r="Q92" s="58" t="s">
        <v>162</v>
      </c>
      <c r="R92" s="58">
        <v>4.0</v>
      </c>
      <c r="S92" s="59" t="s">
        <v>14</v>
      </c>
      <c r="T92" s="58">
        <v>5.0</v>
      </c>
      <c r="U92" s="58">
        <v>20.0</v>
      </c>
      <c r="V92" s="60">
        <v>50.5</v>
      </c>
      <c r="W92" s="60">
        <v>0.0</v>
      </c>
      <c r="X92" s="58" t="s">
        <v>189</v>
      </c>
    </row>
    <row r="93" ht="22.5" customHeight="1">
      <c r="A93" s="47" t="s">
        <v>100</v>
      </c>
      <c r="B93" s="48" t="s">
        <v>333</v>
      </c>
      <c r="C93" s="49" t="s">
        <v>300</v>
      </c>
      <c r="D93" s="50" t="s">
        <v>143</v>
      </c>
      <c r="E93" s="51">
        <v>1.0</v>
      </c>
      <c r="F93" s="52" t="s">
        <v>94</v>
      </c>
      <c r="G93" s="51">
        <v>2.9</v>
      </c>
      <c r="H93" s="53" t="s">
        <v>95</v>
      </c>
      <c r="I93" s="56">
        <v>14.0</v>
      </c>
      <c r="J93" s="52" t="s">
        <v>94</v>
      </c>
      <c r="K93" s="56">
        <v>143.0</v>
      </c>
      <c r="L93" s="52" t="s">
        <v>95</v>
      </c>
      <c r="M93" s="55" t="s">
        <v>314</v>
      </c>
      <c r="N93" s="51" t="s">
        <v>14</v>
      </c>
      <c r="O93" s="51" t="s">
        <v>14</v>
      </c>
      <c r="P93" s="57" t="s">
        <v>14</v>
      </c>
      <c r="Q93" s="58" t="s">
        <v>334</v>
      </c>
      <c r="R93" s="58">
        <v>44.0</v>
      </c>
      <c r="S93" s="59" t="s">
        <v>14</v>
      </c>
      <c r="T93" s="58" t="s">
        <v>335</v>
      </c>
      <c r="U93" s="58">
        <v>6.0</v>
      </c>
      <c r="V93" s="60">
        <v>27.5</v>
      </c>
      <c r="W93" s="60" t="s">
        <v>14</v>
      </c>
      <c r="X93" s="58" t="s">
        <v>218</v>
      </c>
    </row>
    <row r="94" ht="22.5" customHeight="1">
      <c r="A94" s="47" t="s">
        <v>100</v>
      </c>
      <c r="B94" s="47" t="s">
        <v>336</v>
      </c>
      <c r="C94" s="49" t="s">
        <v>300</v>
      </c>
      <c r="D94" s="50" t="s">
        <v>93</v>
      </c>
      <c r="E94" s="51">
        <v>2.0</v>
      </c>
      <c r="F94" s="52" t="s">
        <v>94</v>
      </c>
      <c r="G94" s="51">
        <v>3.0</v>
      </c>
      <c r="H94" s="53" t="s">
        <v>95</v>
      </c>
      <c r="I94" s="56">
        <v>45.0</v>
      </c>
      <c r="J94" s="52" t="s">
        <v>94</v>
      </c>
      <c r="K94" s="56">
        <v>72.0</v>
      </c>
      <c r="L94" s="52" t="s">
        <v>95</v>
      </c>
      <c r="M94" s="55" t="s">
        <v>152</v>
      </c>
      <c r="N94" s="51" t="s">
        <v>14</v>
      </c>
      <c r="O94" s="51" t="s">
        <v>14</v>
      </c>
      <c r="P94" s="57" t="s">
        <v>14</v>
      </c>
      <c r="Q94" s="58" t="s">
        <v>125</v>
      </c>
      <c r="R94" s="58" t="s">
        <v>14</v>
      </c>
      <c r="S94" s="59" t="s">
        <v>14</v>
      </c>
      <c r="T94" s="58" t="s">
        <v>201</v>
      </c>
      <c r="U94" s="58">
        <v>8.0</v>
      </c>
      <c r="V94" s="60">
        <v>47.0</v>
      </c>
      <c r="W94" s="60" t="s">
        <v>14</v>
      </c>
      <c r="X94" s="58" t="s">
        <v>337</v>
      </c>
    </row>
    <row r="95" ht="22.5" customHeight="1">
      <c r="A95" s="47" t="s">
        <v>100</v>
      </c>
      <c r="B95" s="47" t="s">
        <v>338</v>
      </c>
      <c r="C95" s="49" t="s">
        <v>300</v>
      </c>
      <c r="D95" s="50" t="s">
        <v>112</v>
      </c>
      <c r="E95" s="51">
        <v>10.4</v>
      </c>
      <c r="F95" s="52" t="s">
        <v>94</v>
      </c>
      <c r="G95" s="51">
        <v>14.4</v>
      </c>
      <c r="H95" s="53" t="s">
        <v>95</v>
      </c>
      <c r="I95" s="54">
        <v>165.0</v>
      </c>
      <c r="J95" s="52" t="s">
        <v>94</v>
      </c>
      <c r="K95" s="54">
        <v>348.0</v>
      </c>
      <c r="L95" s="52" t="s">
        <v>94</v>
      </c>
      <c r="M95" s="55" t="s">
        <v>152</v>
      </c>
      <c r="N95" s="51" t="s">
        <v>14</v>
      </c>
      <c r="O95" s="51" t="s">
        <v>14</v>
      </c>
      <c r="P95" s="57" t="s">
        <v>14</v>
      </c>
      <c r="Q95" s="58" t="s">
        <v>14</v>
      </c>
      <c r="R95" s="58" t="s">
        <v>14</v>
      </c>
      <c r="S95" s="59">
        <v>7.0</v>
      </c>
      <c r="T95" s="58">
        <v>6.0</v>
      </c>
      <c r="U95" s="58">
        <v>16.0</v>
      </c>
      <c r="V95" s="60">
        <v>54.75</v>
      </c>
      <c r="W95" s="60">
        <v>0.6</v>
      </c>
      <c r="X95" s="58" t="s">
        <v>14</v>
      </c>
    </row>
    <row r="96" ht="22.5" customHeight="1">
      <c r="A96" s="47" t="s">
        <v>100</v>
      </c>
      <c r="B96" s="48" t="s">
        <v>339</v>
      </c>
      <c r="C96" s="49" t="s">
        <v>340</v>
      </c>
      <c r="D96" s="50" t="s">
        <v>133</v>
      </c>
      <c r="E96" s="51">
        <v>2.6</v>
      </c>
      <c r="F96" s="52" t="s">
        <v>94</v>
      </c>
      <c r="G96" s="51">
        <v>3.0</v>
      </c>
      <c r="H96" s="53" t="s">
        <v>95</v>
      </c>
      <c r="I96" s="51" t="s">
        <v>14</v>
      </c>
      <c r="J96" s="52"/>
      <c r="K96" s="61">
        <v>407.0</v>
      </c>
      <c r="L96" s="52" t="s">
        <v>120</v>
      </c>
      <c r="M96" s="55" t="s">
        <v>187</v>
      </c>
      <c r="N96" s="63">
        <v>123.0</v>
      </c>
      <c r="O96" s="63">
        <v>168.0</v>
      </c>
      <c r="P96" s="57" t="s">
        <v>227</v>
      </c>
      <c r="Q96" s="58" t="s">
        <v>104</v>
      </c>
      <c r="R96" s="58" t="s">
        <v>14</v>
      </c>
      <c r="S96" s="71">
        <v>0.37</v>
      </c>
      <c r="T96" s="58" t="s">
        <v>228</v>
      </c>
      <c r="U96" s="58">
        <v>16.0</v>
      </c>
      <c r="V96" s="60">
        <v>77.75</v>
      </c>
      <c r="W96" s="60">
        <v>0.5</v>
      </c>
      <c r="X96" s="58" t="s">
        <v>189</v>
      </c>
    </row>
    <row r="97" ht="22.5" customHeight="1">
      <c r="A97" s="47" t="s">
        <v>90</v>
      </c>
      <c r="B97" s="48" t="s">
        <v>341</v>
      </c>
      <c r="C97" s="49" t="s">
        <v>340</v>
      </c>
      <c r="D97" s="50" t="s">
        <v>112</v>
      </c>
      <c r="E97" s="51">
        <v>8.3</v>
      </c>
      <c r="F97" s="52" t="s">
        <v>94</v>
      </c>
      <c r="G97" s="51">
        <v>9.8</v>
      </c>
      <c r="H97" s="53" t="s">
        <v>95</v>
      </c>
      <c r="I97" s="54">
        <v>415.0</v>
      </c>
      <c r="J97" s="52" t="s">
        <v>95</v>
      </c>
      <c r="K97" s="54">
        <v>471.0</v>
      </c>
      <c r="L97" s="52" t="s">
        <v>95</v>
      </c>
      <c r="M97" s="55" t="s">
        <v>314</v>
      </c>
      <c r="N97" s="51" t="s">
        <v>14</v>
      </c>
      <c r="O97" s="51" t="s">
        <v>14</v>
      </c>
      <c r="P97" s="57" t="s">
        <v>14</v>
      </c>
      <c r="Q97" s="58" t="s">
        <v>14</v>
      </c>
      <c r="R97" s="58" t="s">
        <v>14</v>
      </c>
      <c r="S97" s="59" t="s">
        <v>14</v>
      </c>
      <c r="T97" s="58">
        <v>5.0</v>
      </c>
      <c r="U97" s="58">
        <v>10.0</v>
      </c>
      <c r="V97" s="60">
        <v>49.25</v>
      </c>
      <c r="W97" s="60" t="s">
        <v>14</v>
      </c>
      <c r="X97" s="58" t="s">
        <v>153</v>
      </c>
    </row>
    <row r="98" ht="22.5" customHeight="1">
      <c r="A98" s="47" t="s">
        <v>100</v>
      </c>
      <c r="B98" s="47" t="s">
        <v>342</v>
      </c>
      <c r="C98" s="49" t="s">
        <v>340</v>
      </c>
      <c r="D98" s="50" t="s">
        <v>102</v>
      </c>
      <c r="E98" s="51">
        <v>2.1</v>
      </c>
      <c r="F98" s="52" t="s">
        <v>94</v>
      </c>
      <c r="G98" s="51" t="s">
        <v>14</v>
      </c>
      <c r="H98" s="53" t="s">
        <v>95</v>
      </c>
      <c r="I98" s="51" t="s">
        <v>14</v>
      </c>
      <c r="J98" s="52"/>
      <c r="K98" s="51" t="s">
        <v>14</v>
      </c>
      <c r="L98" s="52"/>
      <c r="M98" s="55" t="s">
        <v>14</v>
      </c>
      <c r="N98" s="56">
        <v>45.0</v>
      </c>
      <c r="O98" s="63">
        <v>114.0</v>
      </c>
      <c r="P98" s="57" t="s">
        <v>227</v>
      </c>
      <c r="Q98" s="58" t="s">
        <v>104</v>
      </c>
      <c r="R98" s="58" t="s">
        <v>14</v>
      </c>
      <c r="S98" s="59" t="s">
        <v>14</v>
      </c>
      <c r="T98" s="58" t="s">
        <v>343</v>
      </c>
      <c r="U98" s="58">
        <v>9.0</v>
      </c>
      <c r="V98" s="60">
        <v>43.75</v>
      </c>
      <c r="W98" s="60" t="s">
        <v>14</v>
      </c>
      <c r="X98" s="58" t="s">
        <v>14</v>
      </c>
    </row>
    <row r="99" ht="22.5" customHeight="1">
      <c r="A99" s="47" t="s">
        <v>100</v>
      </c>
      <c r="B99" s="47" t="s">
        <v>344</v>
      </c>
      <c r="C99" s="49" t="s">
        <v>340</v>
      </c>
      <c r="D99" s="50" t="s">
        <v>133</v>
      </c>
      <c r="E99" s="51">
        <v>1.9</v>
      </c>
      <c r="F99" s="52" t="s">
        <v>94</v>
      </c>
      <c r="G99" s="51">
        <v>7.4</v>
      </c>
      <c r="H99" s="53" t="s">
        <v>95</v>
      </c>
      <c r="I99" s="56">
        <v>9.0</v>
      </c>
      <c r="J99" s="52" t="s">
        <v>94</v>
      </c>
      <c r="K99" s="61">
        <v>381.0</v>
      </c>
      <c r="L99" s="52" t="s">
        <v>120</v>
      </c>
      <c r="M99" s="55" t="s">
        <v>187</v>
      </c>
      <c r="N99" s="51" t="s">
        <v>14</v>
      </c>
      <c r="O99" s="56">
        <v>22.0</v>
      </c>
      <c r="P99" s="57" t="s">
        <v>227</v>
      </c>
      <c r="Q99" s="58" t="s">
        <v>14</v>
      </c>
      <c r="R99" s="58">
        <v>60.0</v>
      </c>
      <c r="S99" s="59" t="s">
        <v>14</v>
      </c>
      <c r="T99" s="58" t="s">
        <v>345</v>
      </c>
      <c r="U99" s="58">
        <v>12.0</v>
      </c>
      <c r="V99" s="60">
        <v>44.25</v>
      </c>
      <c r="W99" s="60" t="s">
        <v>14</v>
      </c>
      <c r="X99" s="58" t="s">
        <v>346</v>
      </c>
    </row>
    <row r="100" ht="22.5" customHeight="1">
      <c r="A100" s="47" t="s">
        <v>100</v>
      </c>
      <c r="B100" s="48" t="s">
        <v>347</v>
      </c>
      <c r="C100" s="49" t="s">
        <v>340</v>
      </c>
      <c r="D100" s="50" t="s">
        <v>143</v>
      </c>
      <c r="E100" s="51">
        <v>1.9</v>
      </c>
      <c r="F100" s="52" t="s">
        <v>94</v>
      </c>
      <c r="G100" s="51">
        <v>2.3</v>
      </c>
      <c r="H100" s="53" t="s">
        <v>95</v>
      </c>
      <c r="I100" s="56">
        <v>69.0</v>
      </c>
      <c r="J100" s="52" t="s">
        <v>94</v>
      </c>
      <c r="K100" s="56">
        <v>80.0</v>
      </c>
      <c r="L100" s="52" t="s">
        <v>94</v>
      </c>
      <c r="M100" s="55" t="s">
        <v>314</v>
      </c>
      <c r="N100" s="51" t="s">
        <v>14</v>
      </c>
      <c r="O100" s="51" t="s">
        <v>14</v>
      </c>
      <c r="P100" s="57" t="s">
        <v>14</v>
      </c>
      <c r="Q100" s="58" t="s">
        <v>303</v>
      </c>
      <c r="R100" s="58">
        <v>6.0</v>
      </c>
      <c r="S100" s="59" t="s">
        <v>14</v>
      </c>
      <c r="T100" s="58" t="s">
        <v>269</v>
      </c>
      <c r="U100" s="58">
        <v>3.0</v>
      </c>
      <c r="V100" s="60">
        <v>65.0</v>
      </c>
      <c r="W100" s="60" t="s">
        <v>14</v>
      </c>
      <c r="X100" s="58" t="s">
        <v>153</v>
      </c>
    </row>
    <row r="101" ht="22.5" customHeight="1">
      <c r="A101" s="47" t="s">
        <v>90</v>
      </c>
      <c r="B101" s="48" t="s">
        <v>348</v>
      </c>
      <c r="C101" s="49" t="s">
        <v>340</v>
      </c>
      <c r="D101" s="50" t="s">
        <v>143</v>
      </c>
      <c r="E101" s="51">
        <v>1.0</v>
      </c>
      <c r="F101" s="52" t="s">
        <v>94</v>
      </c>
      <c r="G101" s="51">
        <v>3.1</v>
      </c>
      <c r="H101" s="53" t="s">
        <v>95</v>
      </c>
      <c r="I101" s="51" t="s">
        <v>14</v>
      </c>
      <c r="J101" s="52"/>
      <c r="K101" s="51" t="s">
        <v>14</v>
      </c>
      <c r="L101" s="52"/>
      <c r="M101" s="55" t="s">
        <v>14</v>
      </c>
      <c r="N101" s="63">
        <v>99.0</v>
      </c>
      <c r="O101" s="63">
        <v>597.0</v>
      </c>
      <c r="P101" s="57" t="s">
        <v>184</v>
      </c>
      <c r="Q101" s="58" t="s">
        <v>349</v>
      </c>
      <c r="R101" s="58" t="s">
        <v>14</v>
      </c>
      <c r="S101" s="59">
        <v>13.0</v>
      </c>
      <c r="T101" s="58">
        <v>10.0</v>
      </c>
      <c r="U101" s="58">
        <v>12.0</v>
      </c>
      <c r="V101" s="60">
        <v>59.25</v>
      </c>
      <c r="W101" s="60" t="s">
        <v>14</v>
      </c>
      <c r="X101" s="58" t="s">
        <v>350</v>
      </c>
    </row>
    <row r="102" ht="22.5" customHeight="1">
      <c r="A102" s="47" t="s">
        <v>90</v>
      </c>
      <c r="B102" s="48" t="s">
        <v>351</v>
      </c>
      <c r="C102" s="49" t="s">
        <v>340</v>
      </c>
      <c r="D102" s="50" t="s">
        <v>102</v>
      </c>
      <c r="E102" s="51">
        <v>10.5</v>
      </c>
      <c r="F102" s="52" t="s">
        <v>94</v>
      </c>
      <c r="G102" s="51">
        <v>13.0</v>
      </c>
      <c r="H102" s="53" t="s">
        <v>95</v>
      </c>
      <c r="I102" s="54">
        <v>253.0</v>
      </c>
      <c r="J102" s="52" t="s">
        <v>95</v>
      </c>
      <c r="K102" s="54">
        <v>756.0</v>
      </c>
      <c r="L102" s="52" t="s">
        <v>95</v>
      </c>
      <c r="M102" s="55" t="s">
        <v>187</v>
      </c>
      <c r="N102" s="51" t="s">
        <v>14</v>
      </c>
      <c r="O102" s="51" t="s">
        <v>14</v>
      </c>
      <c r="P102" s="57" t="s">
        <v>14</v>
      </c>
      <c r="Q102" s="58" t="s">
        <v>14</v>
      </c>
      <c r="R102" s="58">
        <v>12.0</v>
      </c>
      <c r="S102" s="59" t="s">
        <v>14</v>
      </c>
      <c r="T102" s="58">
        <v>4.0</v>
      </c>
      <c r="U102" s="58">
        <v>13.0</v>
      </c>
      <c r="V102" s="60">
        <v>50.25</v>
      </c>
      <c r="W102" s="60">
        <v>0.3</v>
      </c>
      <c r="X102" s="58" t="s">
        <v>352</v>
      </c>
    </row>
    <row r="103" ht="22.5" customHeight="1">
      <c r="A103" s="47" t="s">
        <v>100</v>
      </c>
      <c r="B103" s="47" t="s">
        <v>353</v>
      </c>
      <c r="C103" s="49" t="s">
        <v>340</v>
      </c>
      <c r="D103" s="50" t="s">
        <v>102</v>
      </c>
      <c r="E103" s="51">
        <v>1.0</v>
      </c>
      <c r="F103" s="52" t="s">
        <v>94</v>
      </c>
      <c r="G103" s="51">
        <v>2.3</v>
      </c>
      <c r="H103" s="53" t="s">
        <v>95</v>
      </c>
      <c r="I103" s="51" t="s">
        <v>14</v>
      </c>
      <c r="J103" s="52"/>
      <c r="K103" s="51" t="s">
        <v>14</v>
      </c>
      <c r="L103" s="52"/>
      <c r="M103" s="55" t="s">
        <v>14</v>
      </c>
      <c r="N103" s="56">
        <v>28.0</v>
      </c>
      <c r="O103" s="63">
        <v>408.0</v>
      </c>
      <c r="P103" s="57" t="s">
        <v>187</v>
      </c>
      <c r="Q103" s="58" t="s">
        <v>14</v>
      </c>
      <c r="R103" s="58">
        <v>43.0</v>
      </c>
      <c r="S103" s="59" t="s">
        <v>14</v>
      </c>
      <c r="T103" s="58">
        <v>5.9</v>
      </c>
      <c r="U103" s="58">
        <v>19.0</v>
      </c>
      <c r="V103" s="60">
        <v>76.75</v>
      </c>
      <c r="W103" s="60" t="s">
        <v>14</v>
      </c>
      <c r="X103" s="58" t="s">
        <v>354</v>
      </c>
    </row>
    <row r="104" ht="22.5" customHeight="1">
      <c r="A104" s="47" t="s">
        <v>90</v>
      </c>
      <c r="B104" s="47" t="s">
        <v>355</v>
      </c>
      <c r="C104" s="49" t="s">
        <v>340</v>
      </c>
      <c r="D104" s="50" t="s">
        <v>102</v>
      </c>
      <c r="E104" s="51">
        <v>6.0</v>
      </c>
      <c r="F104" s="52" t="s">
        <v>94</v>
      </c>
      <c r="G104" s="51">
        <v>8.0</v>
      </c>
      <c r="H104" s="53" t="s">
        <v>95</v>
      </c>
      <c r="I104" s="54">
        <v>176.0</v>
      </c>
      <c r="J104" s="52" t="s">
        <v>95</v>
      </c>
      <c r="K104" s="54">
        <v>330.0</v>
      </c>
      <c r="L104" s="52" t="s">
        <v>95</v>
      </c>
      <c r="M104" s="55" t="s">
        <v>187</v>
      </c>
      <c r="N104" s="51" t="s">
        <v>14</v>
      </c>
      <c r="O104" s="51" t="s">
        <v>14</v>
      </c>
      <c r="P104" s="57" t="s">
        <v>14</v>
      </c>
      <c r="Q104" s="58" t="s">
        <v>14</v>
      </c>
      <c r="R104" s="58" t="s">
        <v>14</v>
      </c>
      <c r="S104" s="59" t="s">
        <v>14</v>
      </c>
      <c r="T104" s="58">
        <v>5.0</v>
      </c>
      <c r="U104" s="58">
        <v>13.0</v>
      </c>
      <c r="V104" s="60">
        <v>58.75</v>
      </c>
      <c r="W104" s="60">
        <v>0.0</v>
      </c>
      <c r="X104" s="58" t="s">
        <v>144</v>
      </c>
    </row>
    <row r="105" ht="22.5" customHeight="1">
      <c r="A105" s="47" t="s">
        <v>100</v>
      </c>
      <c r="B105" s="47" t="s">
        <v>356</v>
      </c>
      <c r="C105" s="49" t="s">
        <v>340</v>
      </c>
      <c r="D105" s="50" t="s">
        <v>112</v>
      </c>
      <c r="E105" s="51">
        <v>1.4</v>
      </c>
      <c r="F105" s="52" t="s">
        <v>94</v>
      </c>
      <c r="G105" s="51">
        <v>4.3</v>
      </c>
      <c r="H105" s="53" t="s">
        <v>95</v>
      </c>
      <c r="I105" s="51" t="s">
        <v>14</v>
      </c>
      <c r="J105" s="52"/>
      <c r="K105" s="51" t="s">
        <v>14</v>
      </c>
      <c r="L105" s="52"/>
      <c r="M105" s="55" t="s">
        <v>14</v>
      </c>
      <c r="N105" s="56">
        <v>84.0</v>
      </c>
      <c r="O105" s="63">
        <v>244.0</v>
      </c>
      <c r="P105" s="57" t="s">
        <v>184</v>
      </c>
      <c r="Q105" s="58" t="s">
        <v>357</v>
      </c>
      <c r="R105" s="58" t="s">
        <v>14</v>
      </c>
      <c r="S105" s="59" t="s">
        <v>14</v>
      </c>
      <c r="T105" s="58" t="s">
        <v>358</v>
      </c>
      <c r="U105" s="58">
        <v>10.0</v>
      </c>
      <c r="V105" s="60">
        <v>80.75</v>
      </c>
      <c r="W105" s="60">
        <v>0.2</v>
      </c>
      <c r="X105" s="58" t="s">
        <v>189</v>
      </c>
    </row>
    <row r="106" ht="22.5" customHeight="1">
      <c r="A106" s="47" t="s">
        <v>100</v>
      </c>
      <c r="B106" s="48" t="s">
        <v>359</v>
      </c>
      <c r="C106" s="49" t="s">
        <v>340</v>
      </c>
      <c r="D106" s="50" t="s">
        <v>93</v>
      </c>
      <c r="E106" s="51">
        <v>2.1</v>
      </c>
      <c r="F106" s="52" t="s">
        <v>94</v>
      </c>
      <c r="G106" s="51" t="s">
        <v>14</v>
      </c>
      <c r="H106" s="53" t="s">
        <v>95</v>
      </c>
      <c r="I106" s="51" t="s">
        <v>14</v>
      </c>
      <c r="J106" s="52"/>
      <c r="K106" s="51" t="s">
        <v>14</v>
      </c>
      <c r="L106" s="52"/>
      <c r="M106" s="55" t="s">
        <v>14</v>
      </c>
      <c r="N106" s="63">
        <v>100.0</v>
      </c>
      <c r="O106" s="63">
        <v>178.0</v>
      </c>
      <c r="P106" s="57" t="s">
        <v>184</v>
      </c>
      <c r="Q106" s="58" t="s">
        <v>125</v>
      </c>
      <c r="R106" s="58" t="s">
        <v>14</v>
      </c>
      <c r="S106" s="59" t="s">
        <v>14</v>
      </c>
      <c r="T106" s="58" t="s">
        <v>360</v>
      </c>
      <c r="U106" s="58">
        <v>8.0</v>
      </c>
      <c r="V106" s="60">
        <v>68.75</v>
      </c>
      <c r="W106" s="60">
        <v>0.0</v>
      </c>
      <c r="X106" s="58" t="s">
        <v>277</v>
      </c>
    </row>
    <row r="107" ht="22.5" customHeight="1">
      <c r="A107" s="47" t="s">
        <v>90</v>
      </c>
      <c r="B107" s="48" t="s">
        <v>361</v>
      </c>
      <c r="C107" s="49" t="s">
        <v>340</v>
      </c>
      <c r="D107" s="50" t="s">
        <v>143</v>
      </c>
      <c r="E107" s="51">
        <v>1.0</v>
      </c>
      <c r="F107" s="52" t="s">
        <v>94</v>
      </c>
      <c r="G107" s="51">
        <v>10.2</v>
      </c>
      <c r="H107" s="53" t="s">
        <v>95</v>
      </c>
      <c r="I107" s="54">
        <v>207.0</v>
      </c>
      <c r="J107" s="52" t="s">
        <v>95</v>
      </c>
      <c r="K107" s="61">
        <v>823.0</v>
      </c>
      <c r="L107" s="52" t="s">
        <v>95</v>
      </c>
      <c r="M107" s="55" t="s">
        <v>187</v>
      </c>
      <c r="N107" s="51" t="s">
        <v>14</v>
      </c>
      <c r="O107" s="63">
        <v>949.0</v>
      </c>
      <c r="P107" s="57" t="s">
        <v>187</v>
      </c>
      <c r="Q107" s="58" t="s">
        <v>116</v>
      </c>
      <c r="R107" s="58" t="s">
        <v>14</v>
      </c>
      <c r="S107" s="59" t="s">
        <v>14</v>
      </c>
      <c r="T107" s="58" t="s">
        <v>362</v>
      </c>
      <c r="U107" s="58">
        <v>19.0</v>
      </c>
      <c r="V107" s="60">
        <v>73.0</v>
      </c>
      <c r="W107" s="60">
        <v>0.0</v>
      </c>
      <c r="X107" s="58" t="s">
        <v>363</v>
      </c>
    </row>
    <row r="108" ht="22.5" customHeight="1">
      <c r="A108" s="47" t="s">
        <v>100</v>
      </c>
      <c r="B108" s="47" t="s">
        <v>364</v>
      </c>
      <c r="C108" s="49" t="s">
        <v>340</v>
      </c>
      <c r="D108" s="50" t="s">
        <v>133</v>
      </c>
      <c r="E108" s="51">
        <v>12.1</v>
      </c>
      <c r="F108" s="52" t="s">
        <v>94</v>
      </c>
      <c r="G108" s="51">
        <v>21.5</v>
      </c>
      <c r="H108" s="53" t="s">
        <v>95</v>
      </c>
      <c r="I108" s="54">
        <v>226.0</v>
      </c>
      <c r="J108" s="52" t="s">
        <v>94</v>
      </c>
      <c r="K108" s="54">
        <v>429.0</v>
      </c>
      <c r="L108" s="52" t="s">
        <v>94</v>
      </c>
      <c r="M108" s="55" t="s">
        <v>187</v>
      </c>
      <c r="N108" s="51" t="s">
        <v>14</v>
      </c>
      <c r="O108" s="54">
        <v>426.0</v>
      </c>
      <c r="P108" s="57" t="s">
        <v>314</v>
      </c>
      <c r="Q108" s="58" t="s">
        <v>357</v>
      </c>
      <c r="R108" s="58" t="s">
        <v>14</v>
      </c>
      <c r="S108" s="59" t="s">
        <v>14</v>
      </c>
      <c r="T108" s="58" t="s">
        <v>365</v>
      </c>
      <c r="U108" s="58">
        <v>17.0</v>
      </c>
      <c r="V108" s="60">
        <v>60.0</v>
      </c>
      <c r="W108" s="60">
        <v>0.5</v>
      </c>
      <c r="X108" s="58" t="s">
        <v>366</v>
      </c>
    </row>
    <row r="109" ht="22.5" customHeight="1">
      <c r="A109" s="47" t="s">
        <v>90</v>
      </c>
      <c r="B109" s="47" t="s">
        <v>367</v>
      </c>
      <c r="C109" s="49" t="s">
        <v>340</v>
      </c>
      <c r="D109" s="50" t="s">
        <v>143</v>
      </c>
      <c r="E109" s="51">
        <v>16.0</v>
      </c>
      <c r="F109" s="52" t="s">
        <v>94</v>
      </c>
      <c r="G109" s="51">
        <v>21.5</v>
      </c>
      <c r="H109" s="53" t="s">
        <v>95</v>
      </c>
      <c r="I109" s="54">
        <v>290.0</v>
      </c>
      <c r="J109" s="52" t="s">
        <v>94</v>
      </c>
      <c r="K109" s="54">
        <v>748.0</v>
      </c>
      <c r="L109" s="52" t="s">
        <v>94</v>
      </c>
      <c r="M109" s="55" t="s">
        <v>187</v>
      </c>
      <c r="N109" s="51" t="s">
        <v>14</v>
      </c>
      <c r="O109" s="51" t="s">
        <v>14</v>
      </c>
      <c r="P109" s="57" t="s">
        <v>14</v>
      </c>
      <c r="Q109" s="58" t="s">
        <v>14</v>
      </c>
      <c r="R109" s="58" t="s">
        <v>14</v>
      </c>
      <c r="S109" s="59" t="s">
        <v>14</v>
      </c>
      <c r="T109" s="58">
        <v>8.3</v>
      </c>
      <c r="U109" s="58">
        <v>20.0</v>
      </c>
      <c r="V109" s="60">
        <v>44.25</v>
      </c>
      <c r="W109" s="60">
        <v>0.5</v>
      </c>
      <c r="X109" s="58" t="s">
        <v>14</v>
      </c>
    </row>
    <row r="110" ht="22.5" customHeight="1">
      <c r="A110" s="47" t="s">
        <v>100</v>
      </c>
      <c r="B110" s="47" t="s">
        <v>368</v>
      </c>
      <c r="C110" s="49" t="s">
        <v>340</v>
      </c>
      <c r="D110" s="50" t="s">
        <v>93</v>
      </c>
      <c r="E110" s="51">
        <v>1.9</v>
      </c>
      <c r="F110" s="52" t="s">
        <v>94</v>
      </c>
      <c r="G110" s="51">
        <v>3.2</v>
      </c>
      <c r="H110" s="53" t="s">
        <v>95</v>
      </c>
      <c r="I110" s="56">
        <v>99.0</v>
      </c>
      <c r="J110" s="52" t="s">
        <v>94</v>
      </c>
      <c r="K110" s="56">
        <v>118.0</v>
      </c>
      <c r="L110" s="52" t="s">
        <v>95</v>
      </c>
      <c r="M110" s="55" t="s">
        <v>314</v>
      </c>
      <c r="N110" s="51" t="s">
        <v>14</v>
      </c>
      <c r="O110" s="51" t="s">
        <v>14</v>
      </c>
      <c r="P110" s="57" t="s">
        <v>14</v>
      </c>
      <c r="Q110" s="58" t="s">
        <v>303</v>
      </c>
      <c r="R110" s="58" t="s">
        <v>14</v>
      </c>
      <c r="S110" s="59" t="s">
        <v>14</v>
      </c>
      <c r="T110" s="58" t="s">
        <v>369</v>
      </c>
      <c r="U110" s="58">
        <v>5.0</v>
      </c>
      <c r="V110" s="60">
        <v>65.75</v>
      </c>
      <c r="W110" s="60" t="s">
        <v>14</v>
      </c>
      <c r="X110" s="58" t="s">
        <v>189</v>
      </c>
    </row>
    <row r="111" ht="22.5" customHeight="1">
      <c r="A111" s="47" t="s">
        <v>100</v>
      </c>
      <c r="B111" s="48" t="s">
        <v>370</v>
      </c>
      <c r="C111" s="49" t="s">
        <v>340</v>
      </c>
      <c r="D111" s="50" t="s">
        <v>93</v>
      </c>
      <c r="E111" s="51">
        <v>11.2</v>
      </c>
      <c r="F111" s="52" t="s">
        <v>94</v>
      </c>
      <c r="G111" s="51">
        <v>12.6</v>
      </c>
      <c r="H111" s="53" t="s">
        <v>95</v>
      </c>
      <c r="I111" s="54">
        <v>299.0</v>
      </c>
      <c r="J111" s="52" t="s">
        <v>95</v>
      </c>
      <c r="K111" s="54">
        <v>418.0</v>
      </c>
      <c r="L111" s="52" t="s">
        <v>95</v>
      </c>
      <c r="M111" s="55" t="s">
        <v>227</v>
      </c>
      <c r="N111" s="51" t="s">
        <v>14</v>
      </c>
      <c r="O111" s="51" t="s">
        <v>14</v>
      </c>
      <c r="P111" s="57" t="s">
        <v>14</v>
      </c>
      <c r="Q111" s="58" t="s">
        <v>14</v>
      </c>
      <c r="R111" s="58" t="s">
        <v>14</v>
      </c>
      <c r="S111" s="59" t="s">
        <v>14</v>
      </c>
      <c r="T111" s="58" t="s">
        <v>371</v>
      </c>
      <c r="U111" s="58">
        <v>14.0</v>
      </c>
      <c r="V111" s="60">
        <v>42.5</v>
      </c>
      <c r="W111" s="60" t="s">
        <v>14</v>
      </c>
      <c r="X111" s="58" t="s">
        <v>372</v>
      </c>
    </row>
    <row r="112" ht="22.5" customHeight="1">
      <c r="A112" s="47" t="s">
        <v>100</v>
      </c>
      <c r="B112" s="47" t="s">
        <v>373</v>
      </c>
      <c r="C112" s="49" t="s">
        <v>340</v>
      </c>
      <c r="D112" s="50" t="s">
        <v>93</v>
      </c>
      <c r="E112" s="51">
        <v>1.3</v>
      </c>
      <c r="F112" s="52" t="s">
        <v>94</v>
      </c>
      <c r="G112" s="51">
        <v>2.6</v>
      </c>
      <c r="H112" s="53" t="s">
        <v>95</v>
      </c>
      <c r="I112" s="51" t="s">
        <v>14</v>
      </c>
      <c r="J112" s="52"/>
      <c r="K112" s="51" t="s">
        <v>14</v>
      </c>
      <c r="L112" s="52"/>
      <c r="M112" s="55" t="s">
        <v>14</v>
      </c>
      <c r="N112" s="63">
        <v>246.0</v>
      </c>
      <c r="O112" s="76">
        <v>512.0</v>
      </c>
      <c r="P112" s="57" t="s">
        <v>227</v>
      </c>
      <c r="Q112" s="58" t="s">
        <v>14</v>
      </c>
      <c r="R112" s="58">
        <v>3.0</v>
      </c>
      <c r="S112" s="59" t="s">
        <v>14</v>
      </c>
      <c r="T112" s="58">
        <v>11.4</v>
      </c>
      <c r="U112" s="58">
        <v>40.0</v>
      </c>
      <c r="V112" s="60">
        <v>81.0</v>
      </c>
      <c r="W112" s="60">
        <v>0.0</v>
      </c>
      <c r="X112" s="58" t="s">
        <v>374</v>
      </c>
    </row>
    <row r="113" ht="22.5" customHeight="1">
      <c r="A113" s="47" t="s">
        <v>90</v>
      </c>
      <c r="B113" s="48" t="s">
        <v>375</v>
      </c>
      <c r="C113" s="49" t="s">
        <v>340</v>
      </c>
      <c r="D113" s="50" t="s">
        <v>143</v>
      </c>
      <c r="E113" s="51" t="s">
        <v>59</v>
      </c>
      <c r="F113" s="52" t="s">
        <v>94</v>
      </c>
      <c r="G113" s="51">
        <v>11.0</v>
      </c>
      <c r="H113" s="53" t="s">
        <v>95</v>
      </c>
      <c r="I113" s="51" t="s">
        <v>14</v>
      </c>
      <c r="J113" s="52"/>
      <c r="K113" s="54">
        <v>674.0</v>
      </c>
      <c r="L113" s="52" t="s">
        <v>95</v>
      </c>
      <c r="M113" s="55" t="s">
        <v>184</v>
      </c>
      <c r="N113" s="66" t="s">
        <v>14</v>
      </c>
      <c r="O113" s="66" t="s">
        <v>14</v>
      </c>
      <c r="P113" s="57" t="s">
        <v>14</v>
      </c>
      <c r="Q113" s="58" t="s">
        <v>249</v>
      </c>
      <c r="R113" s="58" t="s">
        <v>14</v>
      </c>
      <c r="S113" s="59" t="s">
        <v>14</v>
      </c>
      <c r="T113" s="58">
        <v>4.0</v>
      </c>
      <c r="U113" s="58">
        <v>9.0</v>
      </c>
      <c r="V113" s="60">
        <v>31.75</v>
      </c>
      <c r="W113" s="60">
        <v>0.5</v>
      </c>
      <c r="X113" s="58" t="s">
        <v>376</v>
      </c>
    </row>
    <row r="114" ht="22.5" customHeight="1">
      <c r="A114" s="47" t="s">
        <v>90</v>
      </c>
      <c r="B114" s="48" t="s">
        <v>377</v>
      </c>
      <c r="C114" s="49" t="s">
        <v>340</v>
      </c>
      <c r="D114" s="50" t="s">
        <v>112</v>
      </c>
      <c r="E114" s="51">
        <v>1.9</v>
      </c>
      <c r="F114" s="52" t="s">
        <v>94</v>
      </c>
      <c r="G114" s="51">
        <v>5.9</v>
      </c>
      <c r="H114" s="53" t="s">
        <v>95</v>
      </c>
      <c r="I114" s="51" t="s">
        <v>14</v>
      </c>
      <c r="J114" s="52"/>
      <c r="K114" s="61">
        <v>721.0</v>
      </c>
      <c r="L114" s="52" t="s">
        <v>120</v>
      </c>
      <c r="M114" s="55" t="s">
        <v>187</v>
      </c>
      <c r="N114" s="63">
        <v>172.0</v>
      </c>
      <c r="O114" s="63">
        <v>201.0</v>
      </c>
      <c r="P114" s="57" t="s">
        <v>314</v>
      </c>
      <c r="Q114" s="58" t="s">
        <v>14</v>
      </c>
      <c r="R114" s="58" t="s">
        <v>14</v>
      </c>
      <c r="S114" s="59" t="s">
        <v>14</v>
      </c>
      <c r="T114" s="58">
        <v>5.0</v>
      </c>
      <c r="U114" s="58">
        <v>9.0</v>
      </c>
      <c r="V114" s="60">
        <v>80.75</v>
      </c>
      <c r="W114" s="60">
        <v>0.0</v>
      </c>
      <c r="X114" s="58" t="s">
        <v>378</v>
      </c>
    </row>
  </sheetData>
  <dataValidations>
    <dataValidation type="list" allowBlank="1" sqref="C2:C114">
      <formula1>"Дендро,Гео,Пиро,Крио,Гидро,Электро,Анемо"</formula1>
    </dataValidation>
    <dataValidation type="list" allowBlank="1" sqref="D2:D114">
      <formula1>"Однорук,Древковое,Каталик,Двурук,Стрелок"</formula1>
    </dataValidation>
  </dataValidations>
  <hyperlinks>
    <hyperlink r:id="rId2" ref="B2"/>
    <hyperlink r:id="rId3" location="gid=1327622048" ref="K2"/>
    <hyperlink r:id="rId4" location="bBaDmgakkkaBcDmgfafbBafubbegGchxkFzfHwbBafuccekFzeGchBvjDabBafuddekLrjEfctbLnbBafuenejDaiJtkFzbKjbBafufjectkKubKjdCrbrbDmcbabradaeaabBcbaaabBouababBitababByiadaaa" ref="N2"/>
    <hyperlink r:id="rId5" location="bBaDmgakkkaBbDmgbbbfbBafubbegGchxkFzfHwbBafuccekFzeGchBvjDabBafuddekLrjEfctbLnbBafuenejDaiJtkFzbKjbBafufjectkKubKjdCrbrbDmcbbqbbrdBkaBwaDpacaeabBcbaabBouaabBitaabByiadaaa" ref="O2"/>
    <hyperlink r:id="rId6" location="byDmggkkkcdehDmgfafbBafubbegGchxkFzfHwbBafuccekFzeGchBvjDabBafuddekLrjEfctbLnbBafuenejDaiJtkFzbKjbBafufjectkKubKjdCrbrgDmcbabradaeaabEabaaabEbbaaacbybbaabFbdadaaa" ref="I3"/>
    <hyperlink r:id="rId7" location="byDmggkkkcdehDmgfafbBafubbegGchxkFzfHwbBafuccekFzeGchBvjDabBafuddekLrjEfctbLnbBafuenejDaiJtkFzbKjbBafufjectkKubKjdCrbriDmcbabrdDsaBbafadaiaabEabaaabKfbaaabEbbaaacbybbaacbyceaabFbdaaabBldaaabCbcadaaa" ref="K3"/>
    <hyperlink r:id="rId8" location="bmDmgakkkahDmgfafbBafubbegGchxkFzfHwbBafuccekFzeGchBvjDabBafuddekLrjEfctbLnbBafuedejDaiJtkFzbKjbBafufiectkKubKjdCrbriDmcbabradadaabBcbaaabBmbaaabBpbadaaa" ref="I4"/>
    <hyperlink r:id="rId9" location="bmDmgakkkatDmgbafbBafubbegGchxkFzfHwbBafuccekFzeGchBvjDabBafuddekLrjEfctbLnbBafuedejDaiJtkFzbKjbBafufdectkKubKjdCrbreDmcbabrdDbaCzajadaeaabBcbaaabBmbaaabBpcaaabCacadaaa" ref="K4"/>
    <hyperlink r:id="rId10" ref="B5"/>
    <hyperlink r:id="rId11" location="bEbDmggkkkebcHsdeFjDmgbafbBafubbegGchxkFzfHwbBafuccekFzeGchBvjDabBafuddekLrjEfctbLnbBafuenejDaiJtkFzbKjbBafufjectkKubKjdCrbrgDmcbbqcbradaoaabVjbaaaccFjceaabVjbaaabVpbaaaccFjchaabVjbaaaccFjckaabVjlaaabBmbababVobababBzeababCadababBucaaabVphadaaa" ref="I5"/>
    <hyperlink r:id="rId12" location="bEbDmggkkkebcHsdeGhDmgbbbdfbBafubbegGchxkFzfHwbBafuccekFzeGchBvjDabBafuddekLrjEfctbLnbBafuenejDaiJtkFzbKjbBafufjectkKubKjdCrbrgDmcbbqcbrdDraDbbbkEeadapaabBmbaaabVobaaabVjbaaaccFjceaabVjbaaabVpbaaaccFjchaabVjbaaaccFjckaabVjkaaabVphaaabrbaaabBzeaaabCaeaaabWciadaaa" ref="K5"/>
    <hyperlink r:id="rId13" location="bBjDmgakkkahDmgfafbBafubbegGchxkFzfHwbBafuccekFzeGchBvjDabBafuddekLrjEfctbLnbBafuenejDaiJtkFzbKjbBafufjectkKubKjdCrbrgDmcbbqcbradaeaabBbbaaabCjbaaabErbaaabBoiadaaa" ref="N6"/>
    <hyperlink r:id="rId14" location="bBjDmgakkkbdiDtDmgbbbfbBafubbegGchxkFzfHwbBafuccekFzeGchBvjDabBafudgekLrjEfctbLnbBafuegejDaiJtkFzbKjbBafufgectkKubKjdCrbriDmcbbqcbrdCpaBbafadaiaabBabaaabCjbaaabCmbaaaccDtbbaabErbaaabBofaaabBlfaaabCbhadaaa" ref="O6"/>
    <hyperlink r:id="rId15" ref="B7"/>
    <hyperlink r:id="rId16" location="bDuDmggkkkaCdDmgfafbBafubbegGchxkFzfHwbBafuccekFzeGchBvjDabBafuddekLrjEfctbLnbBafuedejDaiJtkFzbKjbBafufdectkKubKjdCrbreDmcbabradadaabUbdaaacbDubbaabBmdadaaa" ref="I7"/>
    <hyperlink r:id="rId17" location="bDuDmggkkkaFiDmgbafbBafubbegGchxkFzfHwbBafuccekFzeGchBvjDabBafudgekLrjEfctbLnbBafuenejDaiJtkFzbKjbBafufjectkKubKjdCrbrgDmcbabrdBdajaDradamaabUbgaaabUdgaaacbDubbaabBmdaaabUbgaaabUfgaaabCadaaabBzeaaabBubaaabbdaaabcdaaabddadaaa" ref="K7"/>
    <hyperlink r:id="rId18" location="bDuDmggkkkaByDmgfbbfbBafubbegGchxkFzfHwbBafuccekFzeGchBvjDabBafudgekLrjEfctbLnbBafuenejDaiJtkFzbKjbBafufjectkKubKjdCrbreDmcbabrdDbaCzaDpadahaabUbgaaabUdgaaacbDubbaabBmdaaabUbgaaabUdgaaabCadadaaa" ref="O7"/>
    <hyperlink r:id="rId19" location="bCuDmggkkkbdoDmgbafbBafubbegGchxkFzfHwbBafuccekFzeGchBvjDabBafuddekLrjEfctbLnbBafuedejDaiJtkFzbKjbBafufkectkKubKjdCrbrgDmcbabrdDraBdajadasaabOmbaaaccFqbbaabOnbaaacbCubbaabBmbaaacbCucbaabOodaaaccFqccaabOpcaaaccFqceaabOojaaabBzeaaabCadaaabOpiaaabOmbaaabBubaaabbeaaableadaaa" ref="K8"/>
    <hyperlink r:id="rId20" location="bCuDmggkkkbdhDmgfafbBafubbegGchxkFzfHwbBafuccekFzeGchBvjDabBafuddekLrjEfctbLnbBafuenejDaiJtkFzbKjbBafufjectkKubKjdCrbreDmcbabradafaabOmbaaabOnbaaacbCubbaabBmbaaabOoladaaa" ref="N8"/>
    <hyperlink r:id="rId21" location="bCuDmggkkkbdoDmgbafbBafubbegGckFzhxfHwbBafuccekFzeGchBvjDabBafuddekLrjEfctbLnbBafuenejDaiJtkFzbKjbBafufkectkKubKjdCraDmcbabrdByaBdaEeadataabOmbaaabOnbaaabCabaaacdBareaacbCubbaabBmbaaacbCucbaabOokaaabOpiaaabCacaaacgaicaabBzdaaabVycaaacbCubaaacdBaraaabOocaaabOpcaaabCabaaabOmbadaaa" ref="O8"/>
    <hyperlink r:id="rId22" ref="B9"/>
    <hyperlink r:id="rId23" location="bDxDmgakkkaBtDmgbbbcfbBafubbegGchxkFzfHwbBafuccekFzeGchBvjDabBafuddekLrjEfctbLnbBafuenejDaiJtkFzbKjbBafufjectkKubKjdCrbrgDmcbabradafaabBcbaaabUzgababUzhaaabBmbaaabVahadaaa" ref="I9"/>
    <hyperlink r:id="rId24" location="bDxDmgakkkbbHoDmgbafbBafubbegGchxkFzfHwbBafuccekFzeGchBvjDabBafudgekLrjEfctbLnbBafuegejDaiJtkFzbKjbBafufgectkKubKjdCrbrgDmcbabrdDbbbkjaDradapaabBmbaaaccHodbaabCabaaabUzhaaaccHobbaaccHocbaabBcbaaabUzgaaabVahaaabCabaaabBubaaacbDxcbaabBzgaaabBubaaabCabadaaa" ref="K9"/>
    <hyperlink r:id="rId25" location="bDxDmgakkkbbCdDmgfafbBafubbegGchxkFzfHwbBafuccekFzeGchBvjDabBafudgekLrjEfctbLnbBafuegejDaiJtkFzbKjbBafufgectkKubKjdCrbreDmcbabrdDbbbkCzaDpadahaabBmbaaabCabaaabVadaaabBcbaaabUzeaaacbDxcbaabCacadaaa" ref="O9"/>
    <hyperlink r:id="rId26" location="bwDmggkkkbbcFiDmgbafbBafubbegGchxkFzfHwbBafuccekFzeGchBvjDabBafudgekLrjEfctbLnbBafuegejDaiJtkFzbKjbBafufgectkKubKjdCrbrgDmcbabrdBdaDrajadalaabBcbaaabBoeaaabBjeaaabBcbababBcbaaabbdaaabcdaaabddaaabBubaaabBzfaaabCacadaaa" ref="K10"/>
    <hyperlink r:id="rId27" location="bwDmggkkkaCdDmgfafbBafubbegGchxkFzfHwbBafuccekFzeGchBvjDabBafuddekLrjEfctbLnbBafuenejDaiJtkFzbKjbBafufjectkKubKjdCraDmcbabradadaabBcbaaabBoeaaabBcbadaaa" ref="N10"/>
    <hyperlink r:id="rId28" location="bwDmggkkkbbeBzDmgfafbBafubbegGchxkFzfHwbBafuccekFzeGchBvjDabBafudgekLrjEfctbLnbBafuegejDaiJtkFzbKjbBafufgectkKubKjdCrbriDmcbabrdDsaDvafadahaabBcbaaabBoeaaabBleaaabBcbaaabBcbaaabCbdaaabBycadaaa" ref="O10"/>
    <hyperlink r:id="rId29" location="bBmDmggkkkbbbCoDmgfafbBafubbegGchxkFzfHwbBafuccekFzeGchBvjDabBafuddekLrjEfctbLnbBafuedejDaiJtkFzbKjbBafufjectkKubKjdCrbrgDmcbabradaeaabGkbaaabGmbaaabGvbaaabGwgadaaa" ref="I11"/>
    <hyperlink r:id="rId30" location="bBmDmggkkkbbuFgDmgfbbfbBafubbegGchxkFzfHwbBafuccekFzeGchBvjDabBafudgekLrjEfctbLnbBafuegejDaiJtkFzbKjbBafufgectkKubKjdCrbrgDmcbabrdDbajaDradajaabGkuaaabGttaaabGmbaaabGubaaabGvbaaabGwgaaabBucaaabBziaaabCaeadaaa" ref="K11"/>
    <hyperlink r:id="rId31" location="bBmDmggkkkaCoDmgfafbBafubbegGchxkFzfHwbBafuccekFzeGchBvjDabBafudhekLrjEfctbLnbBafuegejDaiJtkFzbKjbBafufiectkKubKjdCraDmcbabrdDbaDkaDradakaabGkbaaabBzbaaabCabaaacdBargaabGlbaaabGvbaaabGwgaaabBzcaaabCacaaabBubadaaa" ref="O11"/>
    <hyperlink r:id="rId32" location="bClDmgakkkbbFjDmgbafbBqfubbegGchxkFzfHwbBqfuccekFzeGchBvjDabBqfuddekLrjEfctbLnbBqfuenejDaiJtkFzbKjbBqfufjectkKubKjdCraDmcbabradaqaabBmfaaabBcbaaabmbaaaccFjcbaacdBqBdbaabbbaaaccFjcfaabcbaaaccFjciaabdbaaaccFjckaabbfaaabcfaaabdfaaabMrmaaabrbadaaa" ref="I12"/>
    <hyperlink r:id="rId33" location="bClDmgakkkaGhDmgbbbdfbBafubbegGchxkFzfHwbBafuccekFzeGchBvjDabBafuddekLrjEfctbLnbBafuenejDaiJtkFzbKjbcfufkectkKubKjdCrbrfDmcbbqbbrdDbbbkEaaDvadalaabBmfaaabBcbaaacbClbbaacbClcbaabbgaaabcgaaabdgaaabMrmaaabrbaaabByeaaabCaeadaaa" ref="K12"/>
    <hyperlink r:id="rId34" ref="B13"/>
    <hyperlink r:id="rId35" location="bDfDmgakkkaGnDmgbafbBafubbegGchxkFzfHwbBafuccekFzeGchBvjDabBafuddekLrjEfctbLnbBafuedejDaiJtkFzbKjbBafufdectkKubKjdCraDmcbbqbbradaeaabBcbaaabQwbaaabBmbaaabQzgadaaa" ref="I13"/>
    <hyperlink r:id="rId36" location="bDfDmgakkkaGnDmgbafbBafubbegGchxkFzfHwbBafuccekFzeGchBvjDabBafudhekLrjEfctbLnbBafuedejDaiJtkFzbKjbBafufdectkKubKjdCrbriDmcbbqbbrdDeaDvafadafaabBcbaaabQwbaaabBmbaaabQzgaaabCbcadaaa" ref="K13"/>
    <hyperlink r:id="rId37" location="bBcDmgakkkbbDcDmgbafbBnfubbegGchxkFzfHwbBnfuccekFzeGchBvjDabBnfuddekLrjEfctbLnbBnfuenejDaiJtkFzbKjbcfufjectkKubKjdCraDmcbabradakaacbBcdbaabBcbaaacbBcdcaabBcbaaacdBnxbaacbBcccaabrbaaacdBnyeaabpdaaabrfadaaa" ref="I14"/>
    <hyperlink r:id="rId38" location="bBcDmgakkkbbDcDmgbafbCcfubbegGchxkFzfHwbCcfuccekFzeGchBvjDabCcfuddekLrjEfctbLnbCcfuedejDaiJtkFzbKjbcfufjectkKubKjdCrbBtfDmcbabrdDfaCmaDbadamaacbBcdbaabBcbaaacdCcBtcaacbBcdcaabBcbaaacdCcBteaacbBcccaabrbaaacdCcBtfaabpdaaabrfaaabCafadaaa" ref="K14"/>
    <hyperlink r:id="rId39" location="bCmDmggkkkaBlDmgbafbBvfubbegGchxkFzfHwbBvfuccekFzeGchBvjDabBvfuddekLrjEfctbLnbBvfuenejDaiJtkFzbKjbcfufjectkKubKjdCrbBiDmcbbqbbradagaabBcbaaabBmbaaacbCmbbaabMqfaaacbCmcbaabMqcadaaa" ref="N15"/>
    <hyperlink r:id="rId40" location="bCmDmggkkkaBcDmgfafbsfubbegGchxkFzfHwbsfuccekFzeGchBvjDabsfuddekLrjEfctbLnbsfuenejDaiJtkFzbKjbsfufjectkKubKjdCrbmDmcbbqbbrdBcaDfaDbadahaabBcbaaabBmbaaacbCmbbaabMqfaaacbCmcbaabMqcaaabCaeadaaa" ref="O15"/>
    <hyperlink r:id="rId41" location="bCbDmggkkkaCdDmgfafbBafubbegGchxkFzfHwbBafuccekFzeGchBvjDabBafuddekLrjEfctbLnbBafuenejDaiJtkFzbKjbBafufjectkKubKjdCrbrgDmcbabradacaabLbbaaabKwbadaaa" ref="I16"/>
    <hyperlink r:id="rId42" ref="K16"/>
    <hyperlink r:id="rId43" ref="B17"/>
    <hyperlink r:id="rId44" location="bDqDmgakkkaEsDmgbbbfbCbfubbegGchxkFzfHwbCbfuccekFzeGchBvjDabCbfuddekLrjEfctbLnbCbfuenejDaiJtkFzbKjbCbfufdectkKubKjdCrcBpBqDmcbbqbbradafaabSzbaaabTbyaaabTnbaaabThbaaabTigadaaa" ref="I17"/>
    <hyperlink r:id="rId45" location="bDqDmgakkkaHiDmgbafbCbfubbegGchxkFzfHwbCbfuccekFzeGchBvjDabCbfuddekLrjEfctbLnbCbfuedejDaiJtkFzbKjbCbfufkectkKubKjdCrbBpDmcbbqbbrdDbbbkEaafbckdaraabSzbaaabCacaaacdCbBqbaaccHibbaabTobcaabTbiaaabTcdbaabTcbcaabTccaaabTdfaaabTgfaaabThbaaabTjbbaabTjbaaabTkcaaabTmcaaabBydadaaa" ref="K17"/>
    <hyperlink r:id="rId46" location="gid=1706134817" ref="O18"/>
    <hyperlink r:id="rId47" location="bbDmgakkkbcHdDmgbafbcfubbegGchxkFzfHwbcfuccekFzeGchBvjDabcfudeekLrjEfctbLnbcfueeejDaiJtkFzbKjbcfufjectkKubKjdCraDmcbbqbbradalaabBcbaaabCzbaaaccHdbcaaccHdcbaabbbaaabcbaaabCzeaaacbbbbaabCzfaaabBmbaaabEhdadaaa" ref="N19"/>
    <hyperlink r:id="rId48" location="gid=1637372952" ref="O19"/>
    <hyperlink r:id="rId49" location="bzDmggkkkccdhDmgfafbcfubbegGchxkFzfHwbcfuccekFzeGchBvjDabcfudhekLrjEfctbLnbcfueoejDaiJtkFzbKjbcfufjectkKubKjdCraDmcbbqbbradadaabBcbaaacbzbbaabFaeadaaa" ref="I20"/>
    <hyperlink r:id="rId50" location="bzDmggkkkccdhDmgfafbcfubbegGchxkFzfHwbcfuccekFzeGchBvjDabcfudhekLrjEfctbLnbcfueoejDaiJtkFzbKjbcfufjectkKubKjdCrbBccDmcbbqbcrdDgaDzaDyagdadaabBcbaaacbzbbaabFaeadaaa" ref="K20"/>
    <hyperlink r:id="rId51" location="bBtDmggkkkaBcDmgfafbBkfubbegGchxkFzfHwbBkfuccekFzeGchBvjDabBkfudeekLrjEfctbLnbBkfueoejDaiJtkFzbKjbcfufjectkKubKjdCrcteveDmcbbqbbradaeaabBcbaaacbBtcbaabBmbaaabIlgadaaa" ref="N21"/>
    <hyperlink r:id="rId52" location="bBtDmgfkkkaBcDmgfafbBkfubbegGchxkFzfHwbBkfuccekFzeGchBvjDabBkfudeekLrjEfctbLnbBkfueoejDaiJtkFzbKjbcfufjectkKubKjdCrcteveDmcbbqbdrdBuaDgaEaaybqXcgdaeaabBcbaaacbBtcbaabBmbaaabIliadaaa" ref="O21"/>
    <hyperlink r:id="rId53" location="bBuDmgakkkcbddEnDmgbafbBkfubbegGchxkFzfHwbBkfuccekFzeGchBvjDabBkfudeekLrjEfctbLnbBkfueoejDaiJtkFzbKjbcfufjectkKubKjdCrcteveDmcbabradajaabBcbaaabIifaaabIjbaaabbbaaabcbaaabdbaaabIieaaabIjbaaabBcbadaaa" ref="I22"/>
    <hyperlink r:id="rId54" location="bBuDmgakkkcbddEnDmgbafbBkfubbegGchxkFzfHwbBkfuccekFzeGchBvjDabBkfudeekLrjEfctbLnbBkfueoejDaiJtkFzbKjbcfufjectkKubKjdCrcteveDmcbadrdDgaBtaEaafgdamaabBcbaaabbbaaabcbaaabdbaaabIieaaabIjbaaabbbaaabcbaaabdbaaabIieaaabIjbaaabBcbadaaa" ref="K22"/>
    <hyperlink r:id="rId55" location="bDmDmggkkkcbdcDjDmgfafbCafubbegGchxkFzfHwbCafuccekFzeGchBvjDabCafudeekLrjEfctbLnbCafueeejDaiJtkFzbKjbCafufjectkKubKjdCraDmcbbqbdrdDbaDgaDjafgdafaabBmbaaacdCaBrbaacdCaBsbaabSpiaaabSrdadaaa" ref="K23"/>
    <hyperlink r:id="rId56" location="bDmDmggkkkcbdbDmDmgfafbCafubbegGchxkFzfHwbCafuccekFzeGchBvjDabCafudeekLrjEfctbLnbCafueeejDaiJtkFzbKjbCafufjectkKubKjdCrcBrBsDmcbbqbbradadaabBmbaaabSqiaaabSrcadaaa" ref="N23"/>
    <hyperlink r:id="rId57" location="bDmDmggkkkcbdcDjDmgfafbCafubbegGchxkFzfHwbCafuccekFzeGchBvjDabCafudeekLrjEfctbLnbCafueoejDaiJtkFzbKjbCafufeectkKubKjdCrcBrBsDmcbbqbbrdDoaDsawadadaabBmbaaabSqiaaabSrdadaaa" ref="O23"/>
    <hyperlink r:id="rId58" ref="B24"/>
    <hyperlink r:id="rId59" location="bDdDmgakkkccfdGmDmgbafbBxfubbegGchxkFzfHwbBxfuccekFzeGchBvjDabBxfuddekLrjEfctbLnbBxfueoejDaiJtkFzbKjbcfufjectkKubKjdCraDmcbbqcbracaoabBmbaabQtmaacdBxBlbbcdBxBmbabQsbaacbDdbfacbDdckabQsbaabOnbaabbcaabccaabdcaabbcaabccadaaa" ref="I24"/>
    <hyperlink r:id="rId60" location="bDdDmgakkkdbgcldGmDmgbbbcfbBxfubbegGchxkFzfHwbBxfuccekFzeGchBvjDabBxfuddekLrjEfctbLnbBxfueoejDaiJtkFzbKjbcfufjectkKubKjdCraDmcbbqccrdDpaDbbbkEaagdaoaabBmbaaabQtbaaacdBxBlbaacdBxBmbaacgafbaabQtlaaabQsbaaabQsbaaabOnbaaabbcaaabccaaabdcaaabbcaaabccadaaa" ref="K24"/>
    <hyperlink r:id="rId61" location="bDdDmgakkkccbdGmDmgbbbcfbBxfubbegGchxkFzfHwbBxfuccekFzeGchBvjDabBxfuddekLrjEfctbLnbBxfueoejDaiJtkFzbKjbcfufjectkKubKjdCraDmcbbqccrdDpaDbbbkEaagcalabBmbaabQtmaacdBxBlbacdBxBmbacgafbabQsbaabbbaacbDdbgacbDdclabQsbaabOnbadaaa" ref="O24"/>
    <hyperlink r:id="rId62" location="bsDmggkkkaCdDmgfafbcfubbegGchxkFzfHwbcfuccekFzeGchBvjDabcfuddekLrjEfctbLnbcfueoejDaiJtkFzbKjbcfufjectkKubKjdCraDmcbbqbbradadaabBcbaaabExlaaabBcbadaaa" ref="I25"/>
    <hyperlink r:id="rId63" location="bsDmggkkkbcFyDmgfcbcHsfbcfubbegGchxkFzfHwbcfuccekFzeGchBvjDabcfuddekLrjEfctbLnbcfueoejDaiJtkFzbKjbcfufjectkKubKjdCrbBcdDmcbbqbdrdDpaDbaDjafgdahaabBcbaaacbsbbaabIgcaaabExlaaabmbaaabCohaaabBcbadaaa" ref="K25"/>
    <hyperlink r:id="rId64" location="btDmggkkkaCvDmgfafbcfubbegGchxkFzfHwbcfuccekFzeGchBvjDabcfudeekLrjEfctbLnbcfueeejDaiJtkFzbKjbcfufeectkKubKjdCraDmcbbqbbradacaabBcbaaabDxbadaaa" ref="I26"/>
    <hyperlink r:id="rId65" location="btDmggkkkaEnDmgbafbBufubbegGchxkFzfHwbBufuccekFzeGchBvjDabBufudeekLrjEfctbLnbBufueoejDaiJtkFzbKjbcfufjectkKubKjdCrbBhdDmcbbqbdrdDbaBzaDpafgdajaabBcbaaabbbaaacbtbbaabBmbaaabBqbaaabDxbaaabbeaaabceaaabdeadaaa" ref="K26"/>
    <hyperlink r:id="rId66" ref="B27"/>
    <hyperlink r:id="rId67" location="bDgDmgakkkaGoDmgbbbfbBkfubbegGchxkFzfHwbBkfuccekFzeGchBvjDabBkfudeekLrjEfctbLnbBkfueoejDaiJtkFzbKjbBkfufjectkKubKjdCrcteveDmcbbqbbradaeaabRibaaabRhfaaabBmbaaabRicadaaa" ref="N27"/>
    <hyperlink r:id="rId68" location="bDgDmgakkkbcGoDmgbbbfbBkfubbegGchxkFzfHwbBkfuccekFzeGchBvjDabBkfudeekLrjEfctbLnbBkfueoejDaiJtkFzbKjbBkfufjectkKubKjdCrcteveDmcbbqecrdCvafaBfagdahaabRhfaaabRicabaccEmbbaabRhfaaacgafbaabRibaaabBmbadaaa" ref="O27"/>
    <hyperlink r:id="rId69" location="bBfDmgakkkcbcdDmDmgfafbBcfubbegGchxkFzfHwbBcfuccekFzeGchBvjDabBcfudfekLrjEfctbLnbBcfuefejDaiJtkFzbKjbBcfufjectkKubKjdCrbpDmcbbqbbradadaabBabaaabEgbaaabEfeadaaa" ref="N28"/>
    <hyperlink r:id="rId70" location="bBfDmgakkkcbcdDmDmgfafbcfubbegGchxkFzfHwbcfuccekFzeGchBvjDabcfudfekLrjEfctbLnbcfueoejDaiJtkFzbKjbcfufjectkKubKjdCrbBceDmcbbqbbrdDhaBdafadaeaabBabaaabEgbaaabEfeaaabBmbadaaa" ref="O28"/>
    <hyperlink r:id="rId71" ref="B29"/>
    <hyperlink r:id="rId72" location="bDpDmgakkkcbdHdDmgbafbCafubbegGchxkFzfHwbCafuccekFzeGchBvjDabCafudeekLrjEfctbLnbCafueoejDaiJtkFzbKjbCafufjectkKubKjdCraDmcbabradakaabSwbaaacgaCbbaacdCaBsbaaccHdbbaabSsbaaaccHdbcaabStbaaaccHdcbaabBmbaaabJhiadaaa" ref="I29"/>
    <hyperlink r:id="rId73" location="bDpDmgakkkcbdHdDmgbafbCbfubbegGchxkFzfHwbCbfuccekFzeGchBvjDabCbfudeekLrjEfctbLnbCbfueoejDaiJtkFzbKjbCbfufkectkKubKjdCrcBpBqDmcbadrdDmaDgaBzafgdanaabSwbaaaccHdbbaabSsbaaaccHdbcaabStbaaaccHdcbaabSscaaabStcaaabSudaaabSvdaaabBmbaaabSxcababJhiadaaa" ref="K29"/>
    <hyperlink r:id="rId74" location="bBvDmggkkkaDmDmgfafbcfubbegGchxkFzfHwbcfuccekFzeGchBvjDabcfudeekLrjEfctbLnbcfueeejDaiJtkFzbKjbcfufeectkKubKjdCrbBccDmcbbqbbradacaabBbbaaabBmbadaaa" ref="I30"/>
    <hyperlink r:id="rId75" location="bBvDmggkkkcbcDmDmgfafbcfubbegGchxkFzfHwbcfuccekFzeGchBvjDabcfudeekLrjEfctbLnbcfueeejDaiJtkFzbKjbcfufeectkKubKjdCrbBcdDmcbbqbbrdDhaBdaBzadadaabBbbaaacbBvdbaabBmbadaaa" ref="K30"/>
    <hyperlink r:id="rId76" ref="B31"/>
    <hyperlink r:id="rId77" location="gid=2009091628" ref="O31"/>
    <hyperlink r:id="rId78" location="bByDmgakkkdbcedErDmgbbbcfbBmfubbegGchxkFzfHwbBmfuccekFzeGchBvjDabBmfuddekLrjEfctbLnbBmfuerejDaiJtkFzbKjbcfufjectkKubKjdCrcwzDmcbabradafaabJdsaaabJcbaaabIyfaaabIzfaaabJafadaaa" ref="I32"/>
    <hyperlink r:id="rId79" location="bByDmgakkkdbcedErDmgbbbcfbBmfubbegGchxkFzfHwbBmfuccekFzeGchBvjDabBmfuddekLrjEfctbLnbBmfuerejDaiJtkFzbKjbcfufjectkKubKjdCrcwzDmcbabrdCjaCaajadakaabJdsaaabJcbaaabIyfaaabIzfaaabJafaaabBugaaabJcbaaabIyfaaabIzfaaabJafadaaa" ref="K32"/>
    <hyperlink r:id="rId80" location="bByDmgakkkdbcedDtDmgbbbfbBrfubbegGchxkFzfHwbBrfuccekFzeGchBvjDabBrfudgekLrjEfctbLnbBrfuegejDaiJtkFzbKjbcfufgectkKubKjdCraDmcbacrdCjaCsaCiawdanaabJdsaaabJcbaaabIyfaaabIzfaaabJafaaacdBrBebaabLqbaaacdBrBecaabLqbaaacdBrBedaabLqcaaacdBrBeeaabLqsadaaa" ref="O32"/>
    <hyperlink r:id="rId81" location="bdDmggkkkaCbDmgfafbBwfubbegGchxkFzfHwbBwfuccekFzeGchBvjDabBwfudfekLrjEfctbLnbBwfuefejDaiJtkFzbKjbBwfufiectkKubKjdCraDmcbbqbbradabaabDbcadaaa" ref="I33"/>
    <hyperlink r:id="rId82" location="bdDmggkkkbbBzDmgfafbBlfubbegGchxkFzfHwbBlfuccekFzeGchBvjDabBlfudgekLrjEfctbLnbBlfuegejDaiJtkFzbKjbBlfufgectkKubKjdCrbuBSJwDmcbbqbdrdCjaCiaCfawxdahaabDbeaaabLqraaabIhfaaabbfaaabcfaaabdfaaabmeadaaa" ref="K33"/>
    <hyperlink r:id="rId83" location="bCxDmggkkkddcehDmgfafbsfubbegGchxkFzfHwbsfuccekFzeGchBvjDabsfuddekLrjEfctbLnbsfuerejDaiJtkFzbKjbsfufjectkKubKjdCrbmDmcbbqbbradaeaabPnbaaabPmbaaabPobaaabBmiadaaa" ref="I34"/>
    <hyperlink r:id="rId84" location="bCxDmggkkkedbDwceDxDmgbbbcfbBufubbegGchxkFzfHwbBufuccekFzeGchBvjDabBufuddekLrjEfctbLnbBufuerejDaiJtkFzbKjbBufufkectkKubKjdCrbBhdDmcbbqbbrdDbaEaaBgadaeaabPnwaaabPobaaabPmbaaabBmiadaaa" ref="K34"/>
    <hyperlink r:id="rId85" ref="B35"/>
    <hyperlink r:id="rId86" location="bEdDmggkkkdbcdhDmgfafbsfubbegGchxkFzfHwbsfuccekFzeGchBvjDabsfudfekLrjEfctbLnbsfuefejDaiJtkFzbKjbsfuffectkKubKjdCraDmcbabradadaabBcbaaacdsmbaabBmbadaaa" ref="I35"/>
    <hyperlink r:id="rId87" location="bEdDmggkkkdbcdDtDmgbafbsfubbegGchxkFzfHwbsfuccekFzeGchBvjDabsfudfekLrjEfctbLnbsfuefejDaiJtkFzbKjbsfuffectkKubKjdCraDmcbbqbbrdDbaEcaEaadadaabBcbaaacdsmbaabBmbadaaa" ref="K35"/>
    <hyperlink r:id="rId88" location="bBzDmgakkkaEsDmgbbbfbBefubbegGchxkFzfHwbBefuccekFzeGchBvjDabBefudhekLrjEfctbLnbBefuerejDaiJtkFzbKjbBefufjectkKubKjdCraDmcbbqbbradaeaabBcbaaabBmbaaabbbaaabJzBhadaaa" ref="N36"/>
    <hyperlink r:id="rId89" location="bBzDmgakkkaEsDmgbbbfbBefubbegGchxkFzfHwbBefuccekFzeGchBvjDabBefudhekLrjEfctbLnbBefuerejDaiJtkFzbKjbBefufjectkKubKjdCraDmcbbqbbrdDhafaDpadafaabBcbcaabBmbaaabbbaaabJzBfaaabJzccdaaa" ref="O36"/>
    <hyperlink r:id="rId90" ref="B37"/>
    <hyperlink r:id="rId91" location="bCgDmggkkkaEfDmgfafbsfubbegGchxkFzfHwbsfuccekFzeGchBvjDabsfudfekLrjEfctbLnbsfuerejDaiJtkFzbKjbsfufjectkKubKjdCrbmDmcbbqbbradafaabMjbaaabBmbaaacbCgcbaabLzbaaabMhdadaaa" ref="N37"/>
    <hyperlink r:id="rId92" location="bCgDmggkkkaEfDmgfafbBcfubbegGchxkFzfHwbBcfuccekFzeGchBvjDabBcfudfekLrjEfctbLnbBtfuerejDaiJtkFzbKjbBtfufjectkKubKjdCraDmcbbqebrdDoaDpaDsadagaabMjcaaabBmbaaacbCgcbaabLzbaaabMhcaaabMhbcdaaa" ref="O37"/>
    <hyperlink r:id="rId93" ref="B38"/>
    <hyperlink r:id="rId94" location="bBpDmgakkkaEeDmgbafbBlfubbegGchxkFzfHwbBlfuccekFzeGchBvjDabBlfudfekLrjEfctbLnbBlfuerejDaiJtkFzbKjbBlfufiectkKubKjdCrbuBSJwDmcbbqbbradahaabHubaaacbBpbbaabBmbaaabHugaaabbkaaabckaaabIheadaaa" ref="I38"/>
    <hyperlink r:id="rId95" location="bBpDmgakkkaEeDmgbafbBlfubbegGchxkFzfHwbBlfuccekFzeGchBvjDabBlfudfekLrjEfctbLnbBlfuerejDaiJtkFzbKjbBlfufiectkKubKjdCrbuBSJwDmcbbqbbrdDbbbkEaaDvadahaabHueaaacbBpbbaabBmbaaabHugaaabbkaaabckaaabIhfadaaa" ref="K38"/>
    <hyperlink r:id="rId96" location="bBpDmgakkkaCgDmgfafbBcfubbegGchxkFzfHwbBcfuccekFzeGchBvjDabBcfudfekLrjEfctbLnbBcfuefejDaiJtkFzbKjbBcfufiectkKubKjdCrbpDmcbbqbbrdBkaEaaDbbbkdagaabHufaaabHufaaabBmbaaacbBpbbaabbbaaabHubadaaa" ref="N38"/>
    <hyperlink r:id="rId97" location="bBpDmgakkkaEeDmgbafbBlfubbegGchxkFzfHwbBlfuccekFzeGchBvjDabBlfudfekLrjEfctbLnbBlfuerejDaiJtkFzbKjbBlfufiectkKubKjdCrbuBSJwDmcbbqbbrdDbbbkCjaCaadaiaabHueaaacbBpbbaabBmbaaabHugaaabbkaaabckaaabIhfaaabBucadaaa" ref="O38"/>
    <hyperlink r:id="rId98" location="brDmgakkkaCdDmgfafbsfubbegGchxkFzfHwbsfuccekFzeGchBvjDabsfudhekLrjEfctbLnbsfuerejDaiJtkFzbKjbsfufjectkKubKjdCraDmcbbqbbradagaabybaaacdsmbaacbrbbaabydaaabzbaaabBmbadaaa" ref="N39"/>
    <hyperlink r:id="rId99" location="brDmgakkkaCdDmgfafbsfubbegGchxkFzfHwbsfuccekFzeGchBvjDabsfudhekLrjEfctbLnbsfuedejDaiJtkFzbKjbsfufjectkKubKjdCraDmcbbqbbrdEaaEcaDbadagaabybaaacdsmbaacbrbbaabydaaabzbaaabBmbadaaa" ref="O39"/>
    <hyperlink r:id="rId100" ref="B40"/>
    <hyperlink r:id="rId101" location="bDoDmgakkkdbdcbdbGwDmgbafbCbfubbegGchxkFzfHwbCbfuccekFzeGchBvjDabCbfudfekLrjEfctbLnbCbfuerejDaiJtkFzbKjbcfuffectkKubKjdCrbBpDmcbabradajaacdCbBqbaaccGwbeaabSnbaaaccGwbdaabSnbaaaccGwbcaabSnbabacdCbBqaaabBmbadaaa" ref="I40"/>
    <hyperlink r:id="rId102" location="bDoDmgakkkdbdcbddGwDmgbbbefbCbfubbegGchxkFzfHwbCbfuccekFzeGchBvjDabCbfudfekLrjEfctbLnbCbfuerejDaiJtkFzbKjbcfufgectkKubKjdCrbBpDmcbabrdCgaDpaDsadafaacdCbBqbaabSnbcaabSnbcaabSnbcaabBmbcdaaa" ref="K40"/>
    <hyperlink r:id="rId103" location="bCzDmgakkkaGiDmgbafbBufubbegGchxkFzfHwbBufuccekFzeGchBvjDabBufudfekLrjEfctbLnbBufuerejDaiJtkFzbKjbBufufjectkKubKjdCraDmcbbqcbradaBdaacbCzcDcaabBmbaaabPscaaabBcbaaabPrbaaacdBuBhbaaccGibbaabPrbaaaccGibcaacdBuBhcaabPrbaaaccGibdaacdBuBhdaacbCzcCyaabPrcaaacbCzcCqaabPrcaaacbCzcCiaabPrbaaacbCzcDcaabPrgaaacbCzcCyaabPreaaacbCzcCqaabPreaaacbCzcCiaabPrcaaabBcbaaabPocadaaa" ref="I41"/>
    <hyperlink r:id="rId104" location="bCzDmgakkkbbcGiDmgbbbdfbBufubbegGchxkFzfHwbBufuccekFzeGchBvjDabBufudfekLrjEfctbLnbBufuerejDaiJtkFzbKjbBufufjectkKubKjdCrbBhdDmcbabrdDbbbbDpbbbDuadakaacbCzcCnaabBcbaaabBmbaaabPscaaacbCzcCxaabPriaaabPriaaabPriaaabPocaaabBcbadaaa" ref="K41"/>
    <hyperlink r:id="rId105" ref="B42"/>
    <hyperlink r:id="rId106" location="bCiDmgakkkcbcFfDmgbbbdfbBtfubbegGchxkFzfHwbBtfuccekFzeGchBvjDabBtfudfekLrjEfctbLnbBtfuefejDaiJtkFzbKjbBtfuffectkKubKjdCraDmcbbqbcrdCnaCjaBdawdalaabBcbaaabMebaaabMfbaaacdBtBgfaabMgbaaabBmbaaabMabaaabLqhaaabMbfaaabMcfaaabMdfadaaa" ref="K42"/>
    <hyperlink r:id="rId107" location="bCiDmgakkkaFfDmgbbbdfbBcfubbegGchxkFzfHwbBcfuccekFzeGchBvjDabBcfudfekLrjEfctbLnbBtfuefejDaiJtkFzbKjbBtfuffectkKubKjdCraDmcbbqbbradagaabBcbaaabMebaaabMfbaaabMgbaaabBmbaaabMabadaaa" ref="N42"/>
    <hyperlink r:id="rId108" location="bCiDmgakkkcbcFfDmgbbbdfbBcfubbegGchxkFzfHwbBcfuccekFzeGchBvjDabBcfudfekLrjEfctbLnbBtfuefejDaiJtkFzbKjbBtfuffectkKubKjdCraDmcbbqbcrdCraCjaBdawdahaabBcbaaabMebaaabMfbaaabMgbaaabBmbaaabMabaaabLqladaaa" ref="O42"/>
    <hyperlink r:id="rId109" ref="B43"/>
    <hyperlink r:id="rId110" location="bDjDmgakkkcbdOUqGtDmgbafbBtfubbegGchxkFzfHwbBtfuccekFzeGchBvjDabBtfudfekLrjEfctbLnbBcfuefejDaiJtkFzbKjbBcfuffectkKubKjdCraDmcbbqbbrdDbaCjaCiadagaabOnbaaabSabaaaccGtbdaabSaeaaabBmfaaabLqeadaaa" ref="K43"/>
    <hyperlink r:id="rId111" location="bDjDmgakkkbbBjDmgfafbBcfubbegGchxkFzfHwbBcfuccekFzeGchBvjDabBcfudfekLrjEfctbLnbBcfuefejDaiJtkFzbKjbBcfuffectkKubKjdCrbpDmcbbqbbradadaabSafaaabOnbaaabSafadaaa" ref="N43"/>
    <hyperlink r:id="rId112" location="bDjDmgakkkcbdOUqGtDmgbbbdfbBcfubbegGchxkFzfHwbBcfuccekFzeGchBvjDabBcfudfekLrjEfctbLnbBcfuefejDaiJtkFzbKjbBcfuffectkKubKjdCrbpDmcbbqbbrdEcaEaaDbadacaabSafaaabOnbadaaa" ref="O43"/>
    <hyperlink r:id="rId113" location="bBdDmggkkkarDmgfafbBefubbegGchxkFzfHwbBefuccekFzeGchBvjDabBefuddekLrjEfctbLnbBefuerejDaiJtkFzbKjbBefufjectkKubKjdCraDmcbbqbbradahaabBcbaaabbbaaabFgdaaacbBdbbaacbBdcbaabBcbaaabFgBpadaaa" ref="N44"/>
    <hyperlink r:id="rId114" location="bBdDmggkkkaFeDmgfbbfbBrfubbegGckFzhxfHwbBrfuccekFzeGchBvjDabBrfudgekLrjEfctbLnbBrfuegejDaiJtkFzbKjbBrfufgectkKubKjdCraDmcbbqbdrdCjaCibbEDZsCsawBfEDZsdapbabBcbaaabbbaaabFgdaaacbBdbbaacbBdcbaabBcbaaabFgBpaaacdBrBebaabLqcaaacdBrBecaabLqcaaacdBrBedaabLqcaaacdBrBeeaabLqoadaaa" ref="O44"/>
    <hyperlink r:id="rId115" location="bxDmgakkkbbEiDmgbafbBsfubbegGchxkFzfHwbBsfuccekFzeGchBvjDabBsfuddekLrjEfctbLnbBsfuerejDaiJtkFzbKjbBsfufjectkKubKjdCraDmcbbqbbradaraabubaaacdBsBfbaaccEibbaabbbaaabDzbaaacdBsBfcaaccEibcaablbaaacdBsBfdaaccEibdaabBmbaaaccEibeaabGhbaaabbeaaabceaaableaaabDzdadaaa" ref="I45"/>
    <hyperlink r:id="rId116" location="bxDmgakkkbbEiDmgbafbBsfubbegGchxkFzfHwbBsfuccekFzeGchBvjDabBsfuddekLrjEfctbLnbBsfuerejDaiJtkFzbKjbBsfufjectkKubKjdCraDmcbbqbbrdBjaBbafadasaacdBsBfbaaccEibbaabubaaacdBsBfcaaccEibcaabbbcaacdBsBfdaaccEibdaabDzbaaaccEibeaabjbcaabkbaaabBmbcaabGhbcaabbeaaabceaaableaaabDzdadaaa" ref="K45"/>
    <hyperlink r:id="rId117" ref="B46"/>
    <hyperlink r:id="rId118" location="bDbDmgakkkaGjDmgbcbdccfbBvfubbegGchxkFzfHwbBvfuccekFzeGchBvjDabBvfudfekLrjEfctbLnbBvfuerejDaiJtkFzbKjbBvfufjectkKubKjdCrbBiDmcbbqbbradadaabPxbaaabBmbaaaebByfaacbDbbbaacbDbcByaabPzmaaabPygaaabQaeadaaa" ref="N46"/>
    <hyperlink r:id="rId119" location="bDbDmgakkkaGjDmgbcbdccfbBvfubbegGchxkFzfHwbBvfuccekFzeGchBvjDabBvfudfekLrjEfctbLnbBvfuefejDaiJtkFzbKjbBvfufjectkKubKjdCrbBiDmcbbqbbrdEcaEaaBzadaeaabPxbaaabBmbaaacbDbbeaaebDheaacbDbcLoaabPzmaaabPygaaabQaeadaaa" ref="O46"/>
    <hyperlink r:id="rId120" location="bCoDmgakkkbboDmgbafbBpfubbegGchxkFzfHwbBpfuccekFzeGchBvjDabBpfuddekLrjEfctbLnbBpfuesejDaiJtkFzbKjbcfufkectkKubKjdCrbBaDmcbabradajaabMyeaaabNegaaabMzbaaablbaaabbdaaabcdaaabddaaabedaaabfdadaaa" ref="I47"/>
    <hyperlink r:id="rId121" location="bCoDmgakkkbboDmgbafbBpfubbegGchxkFzfHwbBpfuccekFzeGchBvjDabBpfudgekLrjEfctbLnbBpfuesejDaiJtkFzbKjbcfufkectkKubKjdCrbBaDmcbadrdBdaCaaCjawxdalaabMzbdaabrbdaabbeaaabcedaabdeaaabNebdaabNebaaabNdbdaabNdbaaabMydaaabMydddaaa" ref="K47"/>
    <hyperlink r:id="rId122" location="bCsDmgakkkaCdDmgfafbBpfubbegGchxkFzfHwbBpfuccekFzeGchBvjDabBpfudfekLrjEfctbLnbBpfuefejDaiJtkFzbKjbcfuffectkKubKjdCrbBaDmcbbqbbradacaabBcdaaabObgadaaa" ref="N48"/>
    <hyperlink r:id="rId123" location="bCsDmgakkkaHnDmgbafbBpfubbegGchxkFzfHwbBpfuccekFzeGchBvjDabBpfudhekLrjEfctbLnbBpfuefejDaiJtkFzbKjbcfufiectkKubKjdCrbBaDmcbbqbbrdDbaCzaDsadadaabBcdaaabObgaaabBtbadaaa" ref="O48"/>
    <hyperlink r:id="rId124" location="bCfDmggkkkcefhDmgfafbBpfubbegGchxkFzfHwbBpfuccekFzeGchBvjDabBpfuddekLrjEfctbLnbBpfuesejDaiJtkFzbKjbcfufjectkKubKjdCrbBaDmcbabradadaabBcbaaabbbaaabLsladaaa" ref="N49"/>
    <hyperlink r:id="rId125" location="bCfDmggkkkeefcddoDmgbafbBpfubbegGchxkFzfHwbBpfuccekFzeGchBvjDabBpfudgekLrjEfctbLnbBpfuesejDaiJtkFzbKjbcfufkectkKubKjdCrbBaDmcbadrdCjaBdaBoawxdaeaabBcbdaabbbaaabLsmaaabLsdddaaa" ref="O49"/>
    <hyperlink r:id="rId126" ref="B50"/>
    <hyperlink r:id="rId127" location="bCrDmggkkkbbFnDmgbbbcfbBpfubbegGchxkFzfHwbBpfuccekFzeGchBvjDabBpfuddekLrjEfctbLnbBpfuesejDaiJtkFzbKjbcfufjectkKubKjdCrbBaDmcbabradamaabBmbaaabBcbaaabbdaaabcdaaabddaaabedaaabBcbaaabbbaaabcbaaabdbaaabebaaabOaeadaaa" ref="I50"/>
    <hyperlink r:id="rId128" location="bCrDmggkkkcbdFnDmgbbbcfbBpfubbegGchxkFzfHwbBpfuccekFzeGchBvjDabBpfuddekLrjEfctbLnbBpfuesejDaiJtkFzbKjbcfufjectkKubKjdCrbBaDmcbacrdCjaBdaCiawdapaabBmbaaabBcbaaabLqbaaacbCrceaabbdaaabcdaaabddaaabedaaabBcbaaabbbaaabcbaaabdbaaabebaaabLqcaaabOaeadaaa" ref="K50"/>
    <hyperlink r:id="rId129" ref="B51"/>
    <hyperlink r:id="rId130" location="bDnDmgakkkaHlDmgbcbcfbCbfubbegGchxkFzfHwbCbfuccekFzeGchBvjDabCbfuddekLrjEfctbLnbCbfuesejDaiJtkFzbKjbCbfufkectkKubKjdCrcBpBqDmcbbqcbradagaabSjuaaabSkbaaabBmbaaabSmgaaacbDnbbaabSkbadaaa" ref="I51"/>
    <hyperlink r:id="rId131" location="bDnDmgakkkaGzDmgbbbgfbCbfubbegGchxkFzfHwbCbfuccekFzeGchBvjDabCbfuddekLrjEfctbLnbCbfuesejDaiJtkFzbKjbCbfufdectkKubKjdCrcBpBqDmcbbqccrdDlaDsaDyawdahaabSjqaaabSkdaaabSmgaaabBmbaaabBtBbaaacbDnbcaabSkbadaaa" ref="K51"/>
    <hyperlink r:id="rId132" location="bDnDmgakkkaHlDmgbcbcfbCafubbegGchxkFzfHwbCafuccekFzeGchBvjDabCafudhekLrjEfctbLnbCafuesejDaiJtkFzbKjbCafufjectkKubKjdCrcBrBsDmcbbqcbrdDiajaDpadahaacbDnbcaabSjbdaabSjdaaabBmbdaabSkbdaabSmedaabSmdadaaa" ref="O51"/>
    <hyperlink r:id="rId133" location="bCtDmggkkkbbhDmgfafbBpfubbegGchxkFzfHwbBpfuccekFzeGchBvjDabBpfudfekLrjEfctbLnbBpfuefejDaiJtkFzbKjbcfuffectkKubKjdCrbBaDmcbabradagaabOicaaabOjbaaabBmbaaabOfgaaabOldaaabOkdadaaa" ref="N52"/>
    <hyperlink r:id="rId134" location="bCtDmggkkkbbFfDmgbafbBpfubbegGchxkFzfHwbBpfuccekFzeGchBvjDabBpfudfekLrjEfctbLnbBpfuefejDaiJtkFzbKjbcfuffectkKubKjdCrbBaDmcbabrdDiajaDpadaiaabOicdaabOjbdaaccFfbdaabBmbdaabOfddaabOfdaaabOldaaabOkdddaaa" ref="O52"/>
    <hyperlink r:id="rId135" location="bCdDmggkkkaBcDmgfafbBpfubbegGchxkFzfHwbBpfuccekFzeGchBvjDabBpfuddekLrjEfctbLnbBpfuesejDaiJtkFzbKjbcfufjectkKubKjdCrbBaDmcbabradaeaabBccaaabLlbaaabLibaaabLjmadaaa" ref="N53"/>
    <hyperlink r:id="rId136" location="bCdDmggkkkaBbDmgbafbBpfubbegGchxkFzfHwbBpfuccekFzeGchBvjDabBpfuddekLrjEfctbLnbBpfuesejDaiJtkFzbKjbcfufjectkKubKjdCrbBaDmcbabrdDzajaDpadaiaabBccdaabLlbdaaccBbbbaabLibaaabLjoaaabLjedaabLkcaaabLkcddaaa" ref="O53"/>
    <hyperlink r:id="rId137" ref="B54"/>
    <hyperlink r:id="rId138" location="gid=1871247285" ref="O54"/>
    <hyperlink r:id="rId139" ref="B55"/>
    <hyperlink r:id="rId140" location="bCjDmgakkkbcFiDmgbafbBpfubbegGchxkFzfHwbBpfuccekFzeGchBvjDabBpfudgekLrjEfctbLnbBpfuegejDaiJtkFzbKjbcfufjectkKubKjdCrbBaDmcbabrdjaBzaCaadamaabBbbdaabMmgdaacbCjdbaabMmddaabbbdaabbcaaabccaaabcbaaabdcaaabdbdaabebdaabecadaaa" ref="K55"/>
    <hyperlink r:id="rId141" location="bCjDmgakkkaCdDmgfafbBpfubbegGchxkFzfHwbBpfuccekFzeGchBvjDabBpfuddekLrjEfctbLnbBpfuesejDaiJtkFzbKjbcfufjectkKubKjdCrbBaDmcbabradabaabBbbadaaa" ref="N55"/>
    <hyperlink r:id="rId142" location="bCjDmgakkkbcFiDmgbafbBpfubbegGchxkFzfHwbBpfuccekFzeGchBvjDabBpfudgekLrjEfctbLnbBpfuegejDaiJtkFzbKjbcfufjectkKubKjdCrbBaDmcbadrdCoaBdaCaawxdadaabBbbdaabMmhdaabMmcadaaa" ref="O55"/>
    <hyperlink r:id="rId143" ref="B56"/>
    <hyperlink r:id="rId144" location="gid=743542896" ref="K56"/>
    <hyperlink r:id="rId145" location="bCcDmgakkkaEvDmgbafbBpfubbegGchxkFzfHwbBpfuccekFzeGchBvjDabBpfuddekLrjEfctbLnbBpfuesejDaiJtkFzbKjbcfufkectkKubKjdCraDmcbbqbbradajaabBcbaaacdBpBabaabLebaaaccEvbbaacbCcbbaabLecaaabLfmaaabLggaaabLhgadaaa" ref="I57"/>
    <hyperlink r:id="rId146" location="bCcDmgakkkaEvDmgbafbBpfubbegGchxkFzfHwbBpfuccekFzeGchBvjDabBpfudgekLrjEfctbLnbBpfuesejDaiJtkFzbKjbcfufkectkKubKjdCraDmcbbqbdrdBoaCsaDbawxdamaabBcbdaacdBpBabaabLebaaaccEvbbaacbCcbbaabLecdaabLfhdaabLffaaabLgddaabLgdaaabLhddaabLhdadaaa" ref="K57"/>
    <hyperlink r:id="rId147" ref="B58"/>
    <hyperlink r:id="rId148" location="bDlDmgakkkaEoDmgbcbgcfbBvfubbegGchxkFzfHwbBvfuccekFzeGchBvjDabBvfuddekLrjEfctbLnbBvfuesejDaiJtkFzbKjbcfufjectkKubKjdCrbBiDmcbbqebradaeaabBcbaaabPobaaabSesaaabShdadaaa" ref="N58"/>
    <hyperlink r:id="rId149" location="bDlDmgakkkaGuDmgbbbcfbBzfubbegGchxkFzfHwbBzfuccekFzeGchBvjDabBzfuddekLrjEfctbLnbBzfuesejDaiJtkFzbKjbcfufjectkKubKjdCrbBnfDmcbcqetcrdDnaDsafawdaoaabSfcaaabShdaaabSfcaaabSfcaaabSgbaaabSfcaaabSfcaaabSgbaaabSfcaaabSfcaaabSfcaaabSgbaaabSfcaaabBtyadaaa" ref="O58"/>
    <hyperlink r:id="rId150" ref="B59"/>
    <hyperlink r:id="rId151" location="bCnDmggkkkbcDzDmgfafbBpfubbegGchxkFzfHwbBpfuccekFzeGchBvjDabBpfudgekLrjEfctbLnbBpfuegejDaiJtkFzbKjbcfufgectkKubKjdCrbBaDmcbacrdDbaCjaCiawdahaacbCndbaabBmbaaabNijaaabNfbaaabNfiaaabNkcaaabLqiadaaa" ref="K59"/>
    <hyperlink r:id="rId152" location="bCnDmggkkkaDmDmgfafbBpfubbegGchxkFzfHwbBpfuccekFzeGchBvjDabBpfudfekLrjEfctbLnbBpfuefejDaiJtkFzbKjbcfufiectkKubKjdCrbBaDmcbabradaeaabNfbaaacbCndbaabNfiaaabNkcadaaa" ref="N59"/>
    <hyperlink r:id="rId153" location="bCnDmggkkkaEyDmgfafbBcfubbegGchxkFzfHwbBcfuccekFzeGchBvjDabBcfudgekLrjEfctbLnbBcfuesejDaiJtkFzbKjbBcfufjectkKubKjdCrbpDmcbabrdDzajaDpadafaabNfbaaacbCndbaabNfddaabNfgaaabNkcddaaa" ref="O59"/>
    <hyperlink r:id="rId154" location="bBkDmgakkkbbDxDmgbafbefubbegGchxkFzfHwbefuccekFzeGchBvjDabefuddekLrjEfctbLnbefueqejDaiJtkFzbKjbcfufjectkKubKjdCraDmcbbqbbradamaacbBkdbaaccDxbdaabFxoaaabFybaaabBcbaaacbBkcbaabbcaaaccDxbdaabccaaabdcaaabebaaablcadaaa" ref="I60"/>
    <hyperlink r:id="rId155" location="bBkDmgakkkbbDxDmgbafbefubbegGchxkFzfHwbefuccekFzeGchBvjDabefuddekLrjEfctbLnbefueqejDaiJtkFzbKjbcfufdectkKubKjdCraDmcbcqbrbrdEaaDvaDbadamaacbBkdbaaccDxbdaabbbaaabBcbaaabFxoaaabFybaaacbBkcbaabbcaaabccaaabdcaaabebaaablcadaaa" ref="K60"/>
    <hyperlink r:id="rId156" location="bkDmgakkkbbyDmgbbbffbefubbegGchxkFzfHwbefuccekFzeGchBvjDabefuddekLrjEfctbLnbefueqejDaiJtkFzbKjbcfufjectkKubKjdCraDmcbbqbbradagaabBcbaaacbkcbaabBmpaaabBcbaaabCgdaaabCfdadaaa" ref="I61"/>
    <hyperlink r:id="rId157" location="bkDmgakkkbbyDmgbbbffbBzfubbegGchxkFzfHwbBzfuccekFzeGchBvjDabBzfudgekLrjEfctbLnbBzfueqejDaiJtkFzbKjbcfufjectkKubKjdCrbBnfDmcbbqbbrdfaDsaDladaiaabBcbbaacbkcbaabBmkaaabBmfbaabCgdbaabCfcbaabCfbaaabBcbbdaaa" ref="K61"/>
    <hyperlink r:id="rId158" location="bkDmgakkkbbBbDmgbafbsfubbegGchxkFzfHwbsfuccekFzeGchBvjDabsfuddekLrjEfctbLnbsfueqejDaiJtkFzbKjbsfufjectkKubKjdCraDmcbbqbbrdEcaDbaEaadaiaabBcbabacbkcbaabBmdaaaccBbbbaacdsmbaabBmkaaabBmcaaabBcbadaaa" ref="O61"/>
    <hyperlink r:id="rId159" location="biDmggkkkbbBjDmgfafbsfubbegGchxkFzfHwbsfuccekFzeGchBvjDabsfudfekLrjEfctbLnbsfuefejDaiJtkFzbKjbsfuffectkKubKjdCraDmcbbqbbradaeaabDefaaabBmbaaabDefaaabBpgadaaa" ref="N62"/>
    <hyperlink r:id="rId160" location="biDmggkkkbbBcDmgfafbBwfubbegGchxkFzfHwbBwfuccekFzeGchBvjDabBwfudhekLrjEfctbLnbBwfuefejDaiJtkFzbKjbBwfufiectkKubKjdCraDmcbbqbbrdDeaDvafadafaabDeeaaabDebbaabBmbbaabBpeaaabBpcbdaaa" ref="O62"/>
    <hyperlink r:id="rId161" location="bnDmggkkkahDmgfafbsfubbegGchxkFzfHwbsfuccekFzeGchBvjDabsfuddekLrjEfctbLnbsfueqejDaiJtkFzbKjbsfufjectkKubKjdCraDmcbbqbbradadaabBcbaaacdsmbaabBmuadaaa" ref="N63"/>
    <hyperlink r:id="rId162" location="bnDmggkkkaoDmgbafbsfubbegGchxkFzfHwbsfuccekFzeGchBvjDabsfuddekLrjEfctbLnbsfueqejDaiJtkFzbKjbsfufkectkKubKjdCraDmcbbqbbrdDsaDpafadaeaabBcbbaacdsmbaabBmraaabBmdbdaaa" ref="O63"/>
    <hyperlink r:id="rId163" ref="B64"/>
    <hyperlink r:id="rId164" location="bCkDmggkkkbbchDmgfafbBcfubbegGchxkFzfHwbBcfuccekFzeGchBvjDabBcfudfekLrjEfctbLnbBcfuefejDaiJtkFzbKjbBcfuffectkKubKjdCrbpDmcbbqccraudadaabBcbaaabMnmaaabMomadaaa" ref="N64"/>
    <hyperlink r:id="rId165" location="bCkDmggkkkbbcFfDmgbbbdfbBcfubbegGchxkFzfHwbBcfuccekFzeGchBvjDabBcfudfekLrjEfctbLnbBcfuefejDaiJtkFzbKjbBcfuffectkKubKjdCrbpDmcbabrdDeafaBgadagaabMnbbaabModbaacebqbaabBcbaaabMnlaaabMojadaaa" ref="O64"/>
    <hyperlink r:id="rId166" location="bCqDmggkkkaDmDmgfafbBlfubbegGchxkFzfHwbBlfuccekFzeGchBvjDabBlfudhekLrjEfctbLnbBlfuefejDaiJtkFzbKjbBlfufiectkKubKjdCraDmcbbqbbradacaabNvbaaabNwbadaaa" ref="I65"/>
    <hyperlink r:id="rId167" location="bCqDmggkkkaDmDmgfafbBlfubbegGchxkFzfHwbBlfuccekFzeGchBvjDabBlfudhekLrjEfctbLnbBlfuefejDaiJtkFzbKjbBlfufiectkKubKjdCrbuBSJwDmcbbqbbrdBhaDraDbadadaabNvbaaabNwbaaabIhcadaaa" ref="K65"/>
    <hyperlink r:id="rId168" ref="B66"/>
    <hyperlink r:id="rId169" location="bCyDmgakkkbbGhDmgbafbBufubbegGchxkFzfHwbBufuccekFzeGchBvjDabBufuddekLrjEfctbLnbBufueqejDaiJtkFzbKjbBufufkectkKubKjdCraDmcbbqbbradauaabbbaaaccGhbbaacdBuBhbaacbCycbaabcbaaaccGhbcaacdBuBhcaacbCyccaabdbaaaccGhbdaacdBuBhdaacbCycdaabmbaaacbCycfaabbeaaabceaaabdeaaabmcaaabPqcaaabBmfadaaa" ref="I66"/>
    <hyperlink r:id="rId170" location="bCyDmgakkkbbGhDmgbafbBufubbegGchxkFzfHwbBufuccekFzeGchBvjDabBufuddekLrjEfctbLnbBufueqejDaiJtkFzbKjbBufufkectkKubKjdCraDmcbbqbbrdDpaBbafadawaabbbbaaccGhbbaacdBuBhbaacbCycbaabcbaaaccGhbcaacdBuBhcaacbCyccaabdbbaaccGhbdaacdBuBhdaacbCycdaabmbbaacbCycfaabbebaabceaaabdcaaabdcbaabmcbaabPqcbaabBmdaaabBmcbdaaa" ref="K66"/>
    <hyperlink r:id="rId171" location="bBgDmggkkkdbcdDmDmgfafbsfubbegGchxkFzfHwbsfuccekFzeGchBvjDabsfudhekLrjEfctbLnbsfueqejDaiJtkFzbKjbsfufjectkKubKjdCraDmcbbqbbradaeaabBcbaaacdsmbaabBmbaaabEzgadaaa" ref="N67"/>
    <hyperlink r:id="rId172" location="bBgDmggkkkdbcdDmDmgfafbsfubbegGchxkFzfHwbsfuccekFzeGchBvjDabsfudhekLrjEfctbLnbsfueqejDaiJtkFzbKjbsfufjectkKubKjdCraDmcbbqbbrdDsafaDvadahaabBcbaaacdsmbaabHjbbaabHkbbaabEzeaaabEzbbaabEzbbdaaa" ref="O67"/>
    <hyperlink r:id="rId173" ref="B68"/>
    <hyperlink r:id="rId174" location="bDvDmgakkkbcBzDmgfafbBcfubbegGchxkFzfHwbBcfuccekFzeGchBvjDabBcfudgekLrjEfctbLnbBcfuegejDaiJtkFzbKjbBcfufgectkKubKjdCrbpDmcbbqbbradafaabUgbaaabUgbaaabUibaaabUjbaaabUhmadaaa" ref="N68"/>
    <hyperlink r:id="rId175" location="bDvDmgakkkbcHnDmgbafbCafubbegGchxkFzfHwbCafuccekFzeGchBvjDabCafudgekLrjEfctbLnbCafuegejDaiJtkFzbKjbCafufgectkKubKjdCrcBrBsDmcbbqbbrdDsafaDpadahaaccHnbbaabUgbbaabUibbaaccHnbaaabUjbaaabUhkaaabUhcbdaaa" ref="O68"/>
    <hyperlink r:id="rId176" ref="B69"/>
    <hyperlink r:id="rId177" location="bEcDmgakkkbbHtDmgbcbcfbCdfubbegGchxkFzfHwbCdfuccekFzeGchBvjDabCdfuddekLrjEfctbLnbCdfueqejDaiJtkFzbKjbCdfufjectkKubKjdCrbBuDmcbbqbbradasbacfBwibbacfBwhbaabbcaaabccaaabdcaaabecaaabfcaaablbabacfBwebbabBmfababVqbabablbaaacbEcgbaabbcaaabccaaabdcaaabecaaabfcadaaa" ref="I69"/>
    <hyperlink r:id="rId178" location="bEcDmgakkkfbfmcdddeHtDmgbcbcfbCdfubbegGchxkFzfHwbCdfuccekFzeGchBvjDabCdfuddekLrjEfctbLnbCdfueqejDaiJtkFzbKjbCdfufjectkKubKjdCraDmcbbqbbrdEaaDbbbkBwdbFEqckdkdatbacfBwibbacfBwhbaacdCdBubaaebDwfbacfBwebaablbaaabbcaaabccaaabdbaaacfBweaaabdbaaabecaaabfcaaacdCdBuaaacdCdBvbbacfBwgbaaebDwcbacfBwebaabVvfaaabVqbabablbababbbababcbababdbababebababfbadaaa" ref="K69"/>
    <hyperlink r:id="rId179" location="bCwDmggkkkbcFnDmgbbbcfbefubbegGchxkFzfHwbefuccekFzeGchBvjDabefuddekLrjEfctbLnbefueqejDaiJtkFzbKjbefufkectkKubKjdCraDmcbbqbbradaeaabPagaaabPcgaaabBmbaaabbfadaaa" ref="I70"/>
    <hyperlink r:id="rId180" location="bCwDmggkkkccbFnDmgbbbcfbBdfubbegGchxkFzfHwbBdfuccekFzeGchBvjDabBdfuddekLrjEfctbLnbBdfuelejDaiJtkFzbKjbBdfufjectkKubKjdCraDmcbcqbpbrdDfaDbaDradaqaabPabaaacdBdqbaacbCwdbaacbCwebaabPcbaaacdBdqcaabBmbaaacbCwdcaacbCwecaabPabaaacbCwedaabrgaaabbdaaabPjbaaabBxeaaabBwdadaaa" ref="K70"/>
    <hyperlink r:id="rId181" location="buDmgakkkbbrDmgfafbBcfubbegGchxkFzfHwbBcfuccekFzeGchBvjDabBcfudhekLrjEfctbLnbBcfuedejDaiJtkFzbKjbBcfufiectkKubKjdCrbpDmcbbqbbradadaabBcbaaabDyjaaabBmbadaaa" ref="N71"/>
    <hyperlink r:id="rId182" location="buDmgakkkbbrDmgfafbBcfubbegGchxkFzfHwbBcfuccekFzeGchBvjDabBcfudhekLrjEfctbLnbBcfuedejDaiJtkFzbKjbBcfufiectkKubKjdCrbpDmcbbqbbrdDsaDvafadaeaabBcbaaabDyhaaabBmbbaabDycbdaaa" ref="O71"/>
    <hyperlink r:id="rId183" location="bgDmggkkkcbdCoDmgfafbsfubbegGchxkFzfHwbsfuccekFzeGchBvjDabsfuddekLrjEfctbLnbsfueqejDaiJtkFzbKjbsfufjectkKubKjdCraDmcbbqbbradaeaabBcbaaacdsmbaabBmeaaabBcbadaaa" ref="I72"/>
    <hyperlink r:id="rId184" location="bgDmggkkkcbdCvDmgfafbsfubbegGchxkFzfHwbsfuccekFzeGchBvjDabsfuddekLrjEfctbLnbsfueqejDaiJtkFzbKjbsfufjectkKubKjdCraDmcbbqbbrdEcaDbaEaadaiaabBcbaaabBcbaaacbgcbaabBcbaaacdsmbaabBmeaaacbgcaaabBcbadaaa" ref="K72"/>
    <hyperlink r:id="rId185" ref="B73"/>
    <hyperlink r:id="rId186" location="bDaDmggkkkcbbcCdDmgfafbBwfubbegGchxkFzfHwbBwfuccekFzeGchBvjDabBwfudhekLrjEfctbLnbBwfuedejDaiJtkFzbKjbBwfufiectkKubKjdCraDmcbabradaeaabQdbaaabQfeaaabBmbaaabQiiadaaa" ref="N73"/>
    <hyperlink r:id="rId187" location="bDaDmggkkkcbbcCdDmgfafbBlfubbegGchxkFzfHwbBlfuccekFzeGchBvjDabBlfudhekLrjEfctbLnbBlfuedejDaiJtkFzbKjbBlfufiectkKubKjdCrbuBSJwDmcbabrdDbaCzaBjadagaabQebaaabQgiaaabBmbaaabQiiaaabQkcaaabIhcadaaa" ref="O73"/>
    <hyperlink r:id="rId188" ref="B74"/>
    <hyperlink r:id="rId189" location="bBwDmgakkkaEdDmgbbbfbsfubbegGchxkFzfHwbsfuccekFzeGchBvjDabsfuddekLrjEfctbLnbsfuedejDaiJtkFzbKjbsfufdectkKubKjdCraDmcbbqbbradahaabBbbaaacbBwfbaacdsmbaabBmbaaacbBwcbaaebDwcaacbBwbbaabBofaaabBohadaaa" ref="N74"/>
    <hyperlink r:id="rId190" location="bBwDmgakkkaEdDmgbbbfbsfubbegGchxkFzfHwbsfuccekFzeGchBvjDabsfuddekLrjEfctbLnbsfuedejDaiJtkFzbKjbsfufdectkKubKjdCraDmcbbqbbrdEcaDbbbkEaadahaabBabaaacbBwgbaacdsmbaabBmbaaacbBwcbaaebDwcaacbBwbbaabBohaaabBofadaaa" ref="O74"/>
    <hyperlink r:id="rId191" location="bBrDmgakkkaBbDmgbafbsfubbegGchxkFzfHwbsfuccekFzeGchBvjDabsfuddekLrjEfctbLnbsfueqejDaiJtkFzbKjbsfufjectkKubKjdCraDmcbbqbbradaeaabIabaaabIbeaaacdsmbaabBmbadaaa" ref="I75"/>
    <hyperlink r:id="rId192" location="bBrDmgakkkbbeDyDmgbbbdfbBufubbegGchxkFzfHwbBufuccekFzeGchBvjDabBufuddekLrjEfctbLnbBufueqejDaiJtkFzbKjbBufufkectkKubKjdCrbBhdDmcbbqbbrdBzaDbaEaadafaabIabaaabIbeaaabBmbaaacbBrcbaaebByfaacbBrdkaabbdaaabcdaaabddaaabedadaaa" ref="K75"/>
    <hyperlink r:id="rId193" location="bBhDmgakkkdecbfpDsDmgbafbBdfubbegGchxkFzfHwbBdfuccekFzeGchBvjDabBdfuddekLrjEfctbLnbBdfuelejDaiJtkFzbKjbcfufjectkKubKjdCraDmcbbqbbradaqaabBbbaaacdBdqbaabBmbaaabBabaaacdBdqcaacbBhbbaabDlcaaabEpbaaabbcaaabccaaaccDsbbaabdcaaabecaaabbbaaabcbaaabEnbadaaa" ref="I76"/>
    <hyperlink r:id="rId194" location="bBhDmgakkkdecbfpDsDmgbafbBdfubbegGchxkFzfHwbBdfuccekFzeGchBvjDabBdfuddekLrjEfctbLnbBdfuelejDaiJtkFzbKjbcfufjectkKubKjdCraDmcbcqbpbrdCqaDbaDradasaabBbbaaacdBdqbaabBmbaaabBabaaacdBdqcaacbBhbbaabDlcaaabEpbaaabbcaaabccaaaccDsbbaabdcaaabecaaabbbaaabcbaaabEnbaaabBwcaaabBxbadaaa" ref="K76"/>
    <hyperlink r:id="rId195" ref="B77"/>
    <hyperlink r:id="rId196" location="bEaDmgakkkaHrDmgbcbcfbBvfubbegGchxkFzfHwbBvfuccekFzeGchBvjDabBvfuddekLrjEfctbLnbBvfueqejDaiJtkFzbKjbcfufjectkKubKjdCrbBiDmcbbqbbracadabBcbaabVguaabBmbadaaa" ref="N77"/>
    <hyperlink r:id="rId197" location="bEaDmgakkkaHrDmgbcbcfbBvfubbegGchxkFzfHwbBvfuccekFzeGchBvjDabBvfuddekLrjEfctbLnbBvfueqejDaiJtkFzbKjbcfufjectkKubKjdCrbBiDmcbbqbbrdBkaDbaBwacadabBcbaabVguaabBmbadaaa" ref="O77"/>
    <hyperlink r:id="rId198" ref="B78"/>
    <hyperlink r:id="rId199" location="bDhDmgakkkaGqDmgbafbByfubbegGchxkFzfHwbByfuccekFzeGchBvjDabByfuddekLrjEfctbLnbByfuedejDaiJtkFzbKjbCafufjectkKubKjdCraDmcbabradazaacbDhdbaabRkbaaabRlbaaabRmbaaacbDhbBYaaacdByBobaabmbaaacbDhbCHqaacdByBocaabbbaaacdByBodaabcbaaabdbaaabHdbaaabHdbaaabbbaaabcbaaabdbaaabHdbaaabHdbaaabbbaaabcbaaabdbaaabHdbaaabHdbadaaa" ref="I78"/>
    <hyperlink r:id="rId200" location="bDhDmgakkkaGqDmgbafbByfubbegGchxkFzfHwbByfuccekFzeGchBvjDabByfuddekLrjEfctbLnbByfuepejDaiJtkFzbKjbCafufjectkKubKjdCraDmcbabrdBdafaDpadazaacbDhdbaabRkbaaabRlbcaabRmbcaacbDhbBYaaacdByBobaabmbcaacbDhbCHqaacdByBocaabbbcaacdByBodaabcbaaabdbaaabHdbcaabHdbcaabbbaaabcbaaabdbcaabHdbcaabHdbaaabbbaaabcbcaabdbcaabHdbaaabHdbadaaa" ref="K78"/>
    <hyperlink r:id="rId201" location="bfDmggkkkatDmgbafbsfubbegGchxkFzfHwbsfuccekFzeGchBvjDabsfudhekLrjEfctbLnbsfuefejDaiJtkFzbKjbsfufiectkKubKjdCraDmcbbqbbradaeaabBbbaaacbfcbaacdsmbaabBmbadaaa" ref="I79"/>
    <hyperlink r:id="rId202" location="bfDmggkkkatDmgbafbsfubbegGchxkFzfHwbsfuccekFzeGchBvjDabsfudhekLrjEfctbLnbsfuepejDaiJtkFzbKjbsfufjectkKubKjdCraDmcbbqbbrdDsaDvaDpadaeaabBbbaaacbfcbaacdsmbaabBmbadaaa" ref="K79"/>
    <hyperlink r:id="rId203" ref="B80"/>
    <hyperlink r:id="rId204" location="bDwDmggkkkdfgeDxDmgbafbCbfubbegGchxkFzfHwbCbfuccekFzeGchBvjDabCbfuddekLrjEfctbLnbCbfuepejDaiJtkFzbKjbCbfufkectkKubKjdCraDmcbabradaqaabBabaaacdCbBpbaacdCbBqbaacbDwcbaacbDwdbaaccDxbcaabBmbaaabbbaaaccDxbdaabUxfaaabbfaaablgaaaccDxbcaacbDwdaaabbbaaablbadaaa" ref="I80"/>
    <hyperlink r:id="rId205" location="bDwDmggkkkebfgeFeDmgfbbfbCafubbegGchxkFzfHwbCafuccekFzeGchBvjDabCafudgekLrjEfctbLnbCafuegejDaiJtkFzbKjbCafufgectkKubKjdCrcBrBsDmcbabrdDlafaBdadakaabBabaaacbDwcbaabUxbaaacbDwdbaabBmbaaabUxeaaabLomaaabBtmaaabbhaaablhadaaa" ref="K80"/>
    <hyperlink r:id="rId206" location="bDwDmggkkkfbfgdetDmgbafbCafubbegGchxkFzfHwbCafuccekFzeGchBvjDabCafuddekLrjEfctbLnbCafuepejDaiJtkFzbKjbCafufjectkKubKjdCrcBrBsDmcbabradaeaabBabaaabUyfaaacbDwcbaabBmbadaaa" ref="N80"/>
    <hyperlink r:id="rId207" location="bDwDmggkkkfbfgdeFeDmgfbbfbCafubbegGchxkFzfHwbCafuccekFzeGchBvjDabCafudgekLrjEfctbLnbCafuegejDaiJtkFzbKjbCafufgectkKubKjdCrcBrBsDmcbadrdCoaCsaBdawxdagbabBabaaabUxmaaacbDwcbaabBmbaaabLomaaabBtmadaaa" ref="O80"/>
    <hyperlink r:id="rId208" location="bhDmgakkkbbFnDmgbafbhfubbegGchxkFzfHwbhfuccekFzeGchBvjDablfuddekLrjEfctbLnblfuepejDaiJtkFzbKjbcfufkectkKubKjdCraDmcbbqbbradamaabBdbaaaccFnbcaabEmbaaabEkdaaabElbaaabbbaaabBebaaabbbaaabBfbaaabbbaaabcbaaabdbadaaa" ref="I81"/>
    <hyperlink r:id="rId209" location="bhDmgakkkbbHgDmgfbbfbBofubbegGchxkFzfHwbBofuccekFzeGchBvjDabBofuddekLrjEfctbLnbBofuepejDaiJtkFzbKjbcfufkectkKubKjdCrbBbDmcbbqbbrdDbbbkDfbbFEqfbckdafaabEmbcaabEkdaaabElbaaabpeaaabricdaaa" ref="K81"/>
    <hyperlink r:id="rId210" location="gid=222219902" ref="N82"/>
    <hyperlink r:id="rId211" location="gid=1092992478" ref="O82"/>
    <hyperlink r:id="rId212" location="bCpDmgakkkaFnDmgbafbBefubbegGchxkFzfHwbBefuccekFzeGchBvjDabBefuddekLrjEfctbLnbBefuepejDaiJtkFzbKjbBefufjectkKubKjdCraDmcbbqebradagaabNmbaaaccFnbcaabNnbaaabNofaaabNpkaaabNqbadaaa" ref="I83"/>
    <hyperlink r:id="rId213" location="bCpDmgakkkaFnDmgbafbBefubbegGchxkFzfHwbBefuccekFzeGchBvjDabBefudgekLrjEfctbLnbBefuepejDaiJtkFzbKjbBefufjectkKubKjdCraDmcbbqebrdBxajaDcadahaabNmbaaaccFnbcaabNnbaaabNofaaabNpkaaabNqbaaabBviadaaa" ref="K83"/>
    <hyperlink r:id="rId214" location="bCpDmgakkkaCoDmgfafbBcfubbegGchxkFzfHwbBcfuccekFzeGchBvjDabBcfuddekLrjEfctbLnbBcfuepejDaiJtkFzbKjbBcfufjectkKubKjdCraDmcbbqebradadaabNmbaaabNnbaaabNofadaaa" ref="N83"/>
    <hyperlink r:id="rId215" location="bCpDmgakkkaFgDmgfbbfbBofubbegGchxkFzfHwbBofuccekFzeGchBvjDabBofudgekLrjEfctbLnbBofuegejDaiJtkFzbKjbcfufgectkKubKjdCrbBbDmcbbqebrdCzaCsaDbadafaabNmbcaabNnbaaabNofaaabLomaaabBtiadaaa" ref="O83"/>
    <hyperlink r:id="rId216" location="bBlDmgakkkbbDyDmgbbbdfbBmfubbegGchxkFzfHwbBmfuccekFzeGchBvjDabBmfuddekLrjEfctbLnbBmfuepejDaiJtkFzbKjbcfufjectkKubKjdCrcwzDmcbbqcbradayaabbbaaacbBlccaabcbaaacbBlcdaabdbaaacbBlceaabebaaacbBlcgaabfbaaacbBlchaabbbaaacbBlcjaabcbaaacbBlckaabdbaaabebaaabfbaaabbbaaabcbaaabdbaaabebaaabfbaaabBmbaaabGgfadaaa" ref="I84"/>
    <hyperlink r:id="rId217" location="bBlDmgakkkbbDyDmgbbbdfbBofubbegGchxkFzfHwbBofuccekFzeGchBvjDabBofuddekLrjEfctbLnbBofuepejDaiJtkFzbKjbcfufjectkKubKjdCrbBbDmcbbqcbrdBdaDbbbkDpadayaabbbcaacbBlccaabcbaaacbBlcdaabdbcaacbBlceaabebaaacbBlcgaabfbcaacbBlchaabbbaaacbBlcjaabcbaaacbBlckaabdbcaabebaaabfbcaabbbcaabcbaaabdbcaabebaaabfbcaabBmbcaabGgfcdaaa" ref="K84"/>
    <hyperlink r:id="rId218" ref="B85"/>
    <hyperlink r:id="rId219" location="bDeDmggkkkbcHgDmgfbbfbCcfubbegGchxkFzfHwbCcfuccekFzeGchBvjDabCcfuddekLrjEfctbLnbCcfuepejDaiJtkFzbKjbcfufkectkKubKjdCrbBtdDmcbbqcbradaiaabRdbaaacdCcBtbaabRdbaaacdCcBtcaabRdbaaacdCcBtdaabRdeaaabRebadaaa" ref="I85"/>
    <hyperlink r:id="rId220" location="bDeDmggkkkbcHgDmgfbbfbhfubbegGchxkFzfHwbhfuccekFzeGchBvjDabhfudgekLrjEfctbLnbhfuepejDaiJtkFzbKjbhfufkectkKubKjdCraDmcbbqcbrdDvaDfbbFEqfadakaabRebbaacdhgbaabRdbbaacdhgcaabRdbbaacdhgdaabRdbbaabRdbbaabRdbbaabRdbbdaaa" ref="K85"/>
    <hyperlink r:id="rId221" location="bpDmgakkkbbByDmgfafbhfubbegGchxkFzfHwbhfuccekFzeGchBvjDablfuddekLrjEfctbLnblfuepejDaiJtkFzbKjbcfufjectkKubKjdCraDmcbbqbbradabaaebByhaaccBybbaabBmqaaabDrgaaabDssaaabmcaaabbeaaabmeadaaa" ref="I86"/>
    <hyperlink r:id="rId222" location="gid=81578061" ref="K86"/>
    <hyperlink r:id="rId223" location="bCvDmgakkkcbfcGbDmgbafbofubbegGchxkFzfHwbofuccekFzeGchBvjDabofuddekLrjEfctbLnbofuepejDaiJtkFzbKjbcfufjectkKubKjdCraDmcbbqebrdDbbbkDfbbFEqfbckdaiaabOudaaabOvdaaabOwbaaabBcbaaabBmbaaabOzbaaabOubaaabOvbadaaa" ref="I87"/>
    <hyperlink r:id="rId224" location="bCvDmgakkkcbfcGbDmgbafbBufubbegGchxkFzfHwbBufuccekFzeGchBvjDabBufuddekLrjEfctbLnbBufuepejDaiJtkFzbKjbcfufkectkKubKjdCraDmcbbqebrdDcaBxafbckdalaabOubaaabOvbaaacdBuBhdaabOucaaabOvcaaabOwbaaabBcbaaabBmbaaabOzbaaabOubaaabOvbadaaa" ref="K87"/>
    <hyperlink r:id="rId225" ref="B88"/>
    <hyperlink r:id="rId226" location="bDsDmgakkkebDwcdeHlDmgbcbcfbCbfubbegGckFzhxfHwbCbfuccekFzeGchBvjDabCbfuddekLrjEfctbLnbCbfuepejDaiJtkFzbKjbCbfufkectkKubKjdCrcBpBqDmcbbqbcraBfEDZsdakaabBcbaaabUueaaacbDsfpaabBmbaaabUqeaaabUrbaaabUtbaaabUqeaaabUrbaaabUtbadaaa" ref="I88"/>
    <hyperlink r:id="rId227" location="bDsDmgakkkebHscdeHlDmgbcbcfbCbfubbegGckFzhxfHwbCbfuccekFzeGchBvjDabCbfudgekLrjEfctbLnbCbfuepejDaiJtkFzbKjbCbfufkectkKubKjdCrcBpBqDmcbbqbcrdDvaDpafaBfEDZsdanaabBcbaaabUueaaacbDsfBeaabBmbbaabUqcaaabUqcbaabUrbbaabUtbaaabUqcaaabUrbaaabUqbaaabUqbbaabUtbadaaa" ref="K88"/>
    <hyperlink r:id="rId228" location="bDsDmgakkkebDwcdeHlDmgbcbcfbCbfubbegGckFzhxfHwbCbfuccekFzeGchBvjDabCbfuddekLrjEfctbLnbCbfuepejDaiJtkFzbKjbCbfufkectkKubKjdCrcBpBqDmcbbqbcraBfEDZsdagaabBcbaaabUufaaacbDsfpaabBmbaaabUlbaaabUtbadaaa" ref="N88"/>
    <hyperlink r:id="rId229" location="bDsDmgakkkebDwcdeHlDmgbcbcfbCbfubbegGckFzhxfHwbCbfuccekFzeGchBvjDabCbfudgekLrjEfctbLnbCbfuepejDaiJtkFzbKjbCbfufkectkKubKjdCrcBpBqDmcbbqbcrdDqafaDvaBfEDZsdahaabBcbaaabUudaaabUucbaacbDsfBnaabBmbbaabUlbbaabUtbadaaa" ref="O88"/>
    <hyperlink r:id="rId230" location="bBeDmggkkkebcefEnDmgbafbBufubbegGchxkFzfHwbBufuccekFzeGchBvjDabBufuddekLrjEfctbLnbBufuelejDaiJtkFzbKjbBufufjectkKubKjdCrbBhdDmcbcqbpbrdDraDbaCqadaiaabBgbaaabBmbaaabBobcaabBogaaabygaaabBvbaaabnkaaabicadaaa" ref="K89"/>
    <hyperlink r:id="rId231" location="bBeDmggkkkcbeCoDmgfafbBcfubbegGchxkFzfHwbBcfuccekFzeGchBvjDabBcfudeekLrjEfctbLnbBcfueeejDaiJtkFzbKjbBcfufeectkKubKjdCrbpDmcbbqbbradaeaabBgbaaabBmbaaabBohaaabygadaaa" ref="N89"/>
    <hyperlink r:id="rId232" location="bBeDmggkkkcbeCoDmgfafbBcfubbegGchxkFzfHwbBcfuccekFzeGchBvjDabBcfudeekLrjEfctbLnbBcfueeejDaiJtkFzbKjbBcfufeectkKubKjdCrbpDmcbbqbcrdDnaDlafawdafaabBgbaaabBmbaaabBohaaabygaaabBtmadaaa" ref="O89"/>
    <hyperlink r:id="rId233" location="bBbDmggkkkaEdDmgbbbfbBefubbegGckFzhxfHwbBefuccekFzeGchBvjDabBefuddekLrjEfctbLnbBefuepejDaiJtkFzbKjbBefufjectkKubKjdCraDmcbbqbbradaiaacbBbdbaabFdbaaabFebaaabBcbaaacbBbcbaabFfbaaabBcdaaabFcnadaaa" ref="N90"/>
    <hyperlink r:id="rId234" location="bBbDmggkkkaEdDmgbbbfbBefubbegGckFzhxfHwbBefuccekFzeGchBvjDabBefuddekLrjEfctbLnbBefuepejDaiJtkFzbKjbBefufjectkKubKjdCraDmcbbqbbrdDpaCzawadajaabBcbcaacbBbcbaacbBbdbaabFdbaaabFebaaabBcdaaabFfbaaabFcgcaabFchadaaa" ref="O90"/>
    <hyperlink r:id="rId235" location="bBsDmggkkkaDmDmgfafbsfubbegGchxkFzfHwbsfuccekFzeGchBvjDabsfudhekLrjEfctbLnbsfuefejDaiJtkFzbKjbsfuffectkKubKjdCraDmcbbqbbradagaabBcbaaacgahbaabBmbaaabIfjaaacgahaaabIfeadaaa" ref="N91"/>
    <hyperlink r:id="rId236" location="bBsDmggkkkbbdDzDmgfafbBrfubbegGchxkFzfHwbBrfuccekFzeGchBvjDabBrfudgekLrjEfctbLnbBrfuegejDaiJtkFzbKjbBrfufgectkKubKjdCraDmcbbqbdrdCrbbkDlaBzawxdaqaabBcbcaacdBrBebaabLocabacgahbaabBmbcaabbbaaabIfjabacgahaaabIfeaaacdBrBecaabLocaaacdBrBedaabLocaaacdBrBeeaabLoqaaabBteadaaa" ref="O91"/>
    <hyperlink r:id="rId237" location="blDmgakkkcbcDcDmgbbbfbofubbegGchxkFzfHwbofuccekFzeGchBvjDabofudfekLrjEfctbLnbofuepejDaiJtkFzbKjbcfufjectkKubKjdCraDmcbbqebradaeaabmiaaabbiaaabDkdaaabBmbadaaa" ref="I92"/>
    <hyperlink r:id="rId238" location="blDmgakkkbbDcDmgbafbBufubbegGchxkFzfHwbBufuccekFzeGchBvjDabBufudgekLrjEfctbLnbBufuepejDaiJtkFzbKjbcfufjectkKubKjdCrbBhdDmcbbqebrdBzaDbaDfadakaabmccaabmbcaabrccaabmccaabrbcaabDkccaabrccaabBmbcaabDkbaaabpdadaaa" ref="K92"/>
    <hyperlink r:id="rId239" ref="B93"/>
    <hyperlink r:id="rId240" location="bDcDmggkkkaDmDmgfafbBwfubbegGchxkFzfHwbBwfuccekFzeGchBvjDabBwfudfekLrjEfctbLnbBwfuefejDaiJtkFzbKjbBwfuffectkKubKjdCraDmcbbqbbradadaabBbbaaabQpbaaabQqgadaaa" ref="I93"/>
    <hyperlink r:id="rId241" location="bDcDmggkkkbbHrDmgbafbsfubbegGchxkFzfHwbsfuccekFzeGchBvjDabsfudfekLrjEfctbLnbsfuepejDaiJtkFzbKjbsfufjectkKubKjdCrbmDmcbbqbbrdDsaDrafadakaacbDccbaabQpbaaabOnbaaabQqgaaabQobaaabQrcaaabBabaaaccHrcbaacbDcdbaabQobadaaa" ref="K93"/>
    <hyperlink r:id="rId242" location="bcDmggkkkbcBbDmgbafbsfubbegGchxkFzfHwbsfuccekFzeGchBvjDabsfuddekLrjEfctbLnbsfuepejDaiJtkFzbKjbsfufjectkKubKjdCrbmDmcbbqbbradadaabBssaaaccBbbbaabzbadaaa" ref="I94"/>
    <hyperlink r:id="rId243" location="bcDmggkkkbcBbDmgbafbsfubbegGchxkFzfHwbsfuccekFzeGchBvjDabsfuddekLrjEfctbLnbsfuepejDaiJtkFzbKjbsfufjectkKubKjdCrbmDmcbbqbbrdDeaDbaDfadafaabBsqaaabBsccaaccBbbbaabzbaaabzbcdaaa" ref="K94"/>
    <hyperlink r:id="rId244" location="bBiDmggkkkcdbeByDmgfafblfubbegGchxkFzfHwblfuccekFzeGchBvjDabBffuddekLrjEfctbLnbBffuepejDaiJtkFzbKjbcfufjectkKubKjdCraDmcbbqbbradacaabBmbaaaebBylaaccBybbaacbBicbaabCybaaabCubaaabBcbaaabCybaaabCubaaabbdaaabcdaaabCydaaabCudadaaa" ref="I95"/>
    <hyperlink r:id="rId245" location="bBiDmggkkkcdbeGhDmgbbbdfbBufubbegGchxkFzfHwbBufuccekFzeGchBvjDabBufuddekLrjEfctbLnbBufuepejDaiJtkFzbKjbBufufkectkKubKjdCrbBhdDmcbbqbbrdDbaBdaDpadacaabBmbcaaebBylbaccBybbaacbBicbaabCybcaabCubcaabBcbaaabCybcaabCubaaabbdcaabcdaaabCydcaabCudcdaaa" ref="K95"/>
    <hyperlink r:id="rId246" ref="B96"/>
    <hyperlink r:id="rId247" location="beDmggkkkbbFgDmgfbbfbBofubbegGchxkFzfHwbBofuccekFzeGchBvjDabBofudgekLrjEfctbLnbBofuemejDaiJtkFzbKjbcfufjectkKubKjdCrbBbDmcbbqbbrdjaCjaBdacanabDdbdacbedbabBmbdabEieaabEiedabDcddabLpjaabbdaabCcdaabcdaabCcddabddaabCcdadaaa" ref="K96"/>
    <hyperlink r:id="rId248" location="beDmggkkkcbdFnDmgbafbBefubbegGchxkFzfHwbBefuccekFzeGchBvjDabBefudhekLrjEfctbLnbBefuemejDaiJtkFzbKjbBefufjectkKubKjdCraDmcbbqbbradafaabDdbaaaccFnbcaabBmbaaabEiiaaabBcbadaaa" ref="N96"/>
    <hyperlink r:id="rId249" location="beDmggkkkbbFnDmgbafbBefubbegGchxkFzfHwbBefuccekFzeGchBvjDabBefudhekLrjEfctbLnbBefuemejDaiJtkFzbKjbBefufjectkKubKjdCraDmcbbqbdrdjaCjaCoawxdahaabDdbdaaccFnbcaacbedbaabBmbdaabEieaaabEiedaabBcbddaaa" ref="O96"/>
    <hyperlink r:id="rId250" ref="B97"/>
    <hyperlink r:id="rId251" location="bDzDmgakkkccdbHqDmgbcbcfbCcfubbegGchxkFzfHwbCcfuccekFzeGchBvjDabCcfuddekLrjEfctbLnbCcfuemejDaiJtkFzbKjbCcfufjectkKubKjdCraDmcbabradakaabVccaaacdCcBteaabmcaaacdCcBtfaabrcaaabVecaaacbDzbbaabVccaaabmcaaabrcadaaa" ref="I97"/>
    <hyperlink r:id="rId252" location="bDzDmgakkkccdbHqDmgbcbcfbCcfubbegGchxkFzfHwbCcfuccekFzeGchBvjDabCcfuddekLrjEfctbLnbCcfuemejDaiJtkFzbKjbCcfufjectkKubKjdCraDmcbabrdDyaDcaDsadalaabVccaaacdCcBteaabmcaaacdCcBtfaabrcaaabVecaaacbDzbbaabVccaaabmcaaabrcaaabBvdadaaa" ref="K97"/>
    <hyperlink r:id="rId253" location="bBnDmggkkkddcehDmgfafbsfubbegGchxkFzfHwbsfuccekFzeGchBvjDabsfuddekLrjEfctbLnbsfuemejDaiJtkFzbKjbcfufjectkKubKjdCraDmcbbqbbradafaabBcdaaacdsmbaabBmbaaabIdiaaabIeeadaaa" ref="N98"/>
    <hyperlink r:id="rId254" location="bBnDmggkkkddceDtDmgbafbsfubbegGchxkFzfHwbsfuccekFzeGchBvjDabsfuddekLrjEfctbLnbsfuemejDaiJtkFzbKjbcfufjectkKubKjdCraDmcbbqbdrdCoajaCjawxdalaabBcbdaabBccaaacdsmbaabBmbdaaccDtbbaabIdbdaacbBnbbaabIdeaaabIdddaabIecaaabIecddaaa" ref="O98"/>
    <hyperlink r:id="rId255" location="bCeDmggkkkbdCoDmgfafbBwfubbegGchxkFzfHwbBwfuccekFzeGchBvjDabBwfudhekLrjEfctbLnbBwfuefejDaiJtkFzbKjbBwfufiectkKubKjdCraDmcbbqbbradafaabLubaaabbbaaabLvdaaabLwkaaabLxeadaaa" ref="I99"/>
    <hyperlink r:id="rId256" location="bCeDmggkkkbdFgDmgfbbfbwfubbegGchxkFzfHwbwfuccekFzeGchBvjDabwfudgekLrjEfctbLnbwfuegejDaiJtkFzbKjbwfufgectkKubKjdCraDmcbbqbbrdCjaDbajadaiaabLuddaabLvjaaabbgdaabcgaaabLwkaaabLxdaaabLpmaaabBubadaaa" ref="K99"/>
    <hyperlink r:id="rId257" location="bCeDmggkkkbdCoDmgfafbBwfubbegGchxkFzfHwbBwfuccekFzeGchBvjDabBwfudhekLrjEfctbLnbBwfuefejDaiJtkFzbKjbBwfufiectkKubKjdCraDmcbbqbdrdCjajaCoawxdaiaabLubdaabbbaaabLvbdaabLvcaaabLwedaabLwgaaabLxbdaabLxdadaaa" ref="O99"/>
    <hyperlink r:id="rId258" ref="B100"/>
    <hyperlink r:id="rId259" location="bDyDmggkkkcbBqcHrDmgbcbcfbCafubbegGchxkFzfHwbCafuccekFzeGchBvjDabCafuddekLrjEfctbLnbCafuedejDaiJtkFzbKjbCafufjectkKubKjdCrcBrBsDmcbabradacaabBcbaaabBmbadaaa" ref="I100"/>
    <hyperlink r:id="rId260" location="bDyDmggkkkcbBqcHrDmgbcbcfbCafubbegGchxkFzfHwbCafuccekFzeGchBvjDabCafuddekLrjEfctbLnbCafuedejDaiJtkFzbKjbCafufjectkKubKjdCrcBrBsDmcbabrdDzaDcaDsadadaabBcbaaabBmbaaabBvbadaaa" ref="K100"/>
    <hyperlink r:id="rId261" ref="B101"/>
    <hyperlink r:id="rId262" location="bEeDmgakkkbbIoDmgbcbcfbBofubbegGchxkFzfHwbBofuccekFzeGchBvjDabBofuddekLrjEfctbLnbBofuedejDaiJtkFzbKjbcfufjectkKubKjdCrbBbDmcbabradafaabBcbaaabVwkaaabBmbababVxkababVykadaaa" ref="N101"/>
    <hyperlink r:id="rId263" location="bEeDmgakkkbbIoDmgbcbcfbBofubbegGchxkFzfHwbBofuccekFzeGchBvjDabBofuddekLrjEfctbLnbBofuedejDaiJtkFzbKjbcfufjectkKubKjdCrbBbDmcbabrdCzaDbaDpadagaabBcbaaabVwkaaabBmbaaabVxkaaabVyfaaabWbfadaaa" ref="O101"/>
    <hyperlink r:id="rId264" ref="B102"/>
    <hyperlink r:id="rId265" location="bDiDmgakkkcbBMmcGrDmgbbbdfbBmfubbegGchxkFzfHwbBmfuccekFzeGchBvjDabBmfuddekLrjEfctbLnbBmfuemejDaiJtkFzbKjbcfufjectkKubKjdCrcwzDmcbabradaeaabBmfaaabRudaaacbDiecaadfcaabRrdaaabRudadaaa" ref="I102"/>
    <hyperlink r:id="rId266" location="bDiDmgakkkebBMmcddecGrDmgbbbdfbByfubbegGchxkFzfHwbByfuccekFzeGchBvjDabByfudgekLrjEfctbLnbByfuemejDaiJtkFzbKjbcfufjectkKubKjdCrbBodDmcbadrdCjaDbaCsawxdagaabBmcdaabBmdaaabRuddaadfeaabRrcaaabRrbdaabRubaaabRucdaabLpmaaabBubadaaa" ref="K102"/>
    <hyperlink r:id="rId267" location="bCaDmggkkkahDmgfafbBcfubbegGchxkFzfHwbBcfuccekFzeGchBvjDabBcfudfekLrjEfctbLnbBcfuefejDaiJtkFzbKjbBcfufiectkKubKjdCrbpDmcbbqbbradaeaabBcbaaabKbkaaabKciaaabKddadaaa" ref="N103"/>
    <hyperlink r:id="rId268" location="bCaDmggkkkaFfDmgbafbBofubbegGchxkFzfHwbBofuccekFzeGchBvjDabBofudgekLrjEfctbLnbBofuegejDaiJtkFzbKjbcfufgectkKubKjdCrbBbDmcbbqbdrdCoaCjaDbawxdanaabBcbdaaccFfbbaabKbbaaaccFfbcaabKbbaaaccFfbdaabKbedaabKbeaaabKcfaaabKcddaabKdddaabLpmaaabBubadaaa" ref="O103"/>
    <hyperlink r:id="rId269" location="boDmgakkkbbDxDmgbafbxfubbegGckFzhxfHwbxfuccekFzeGchBvjDabxfuddekLrjEfctbLnbxfuemejDaiJtkFzbKjbxfufjectkKubKjdCraDmcbbqcbradamaabDpbaaaccDxbcaacbocbaabBmbaaabEuiaaabEtbaaabDobaaaccDxbdaabbeaaabDpbaaableaaabDnbadaaa" ref="I104"/>
    <hyperlink r:id="rId270" location="boDmgakkkbbDtDmgbbbfbBofubbegGckFzhxfHwbBofuccekFzeGchBvjDabBofudgekLrjEfctbLnbBofuemejDaiJtkFzbKjbBofufjectkKubKjdCrbBbDmcbbqcbrdCjajaBdadapaabDpbdbaccDxbcaacbocbaabBmbaaabDobdaabEugaaabEucdaabEtbdbaccDxbdaabbddaabbbaaabDpbdaableaaabDnbaaabLpiadaaa" ref="K104"/>
    <hyperlink r:id="rId271" location="bqDmggkkkbcCdDmgfafbsfubbegGchxkFzfHwbsfuccekFzeGchBvjDabsfuddekLrjEfctbLnbsfuemejDaiJtkFzbKjbsfufjectkKubKjdCraDmcbbqbbradafaabDvbaaacbqbbaacdsmbaabLcbaaabBmBeadaaa" ref="N105"/>
    <hyperlink r:id="rId272" location="bqDmggkkkbcFiDmgbafbsfubbegGchxkFzfHwbsfuccekFzeGchBvjDabsfudgekLrjEfctbLnbsfuegejDaiJtkFzbKjbsfufgectkKubKjdCraDmcbbqbbrdDhaBdaBzadagaabDvbaaacbqbbaacdsmbaabLcbaaabBmBeaaabBumadaaa" ref="O105"/>
    <hyperlink r:id="rId273" ref="B106"/>
    <hyperlink r:id="rId274" location="bDrDmggkkkbbBlDmgbafbCafubbegGchxkFzfHwbCafuccekFzeGchBvjDabCafuddekLrjEfctbLnbCafuemejDaiJtkFzbKjbcfufjectkKubKjdCrcBrBsDmcbbqcbradajaabUabaaacbDrdbaacbDrccaabTsbaaabTtjaaabTteaaabTvbababTuiababBufadaaa" ref="N106"/>
    <hyperlink r:id="rId275" location="bDrDmggkkkbbBbDmgbbbfbCafubbegGchxkFzfHwbCafuccekFzeGchBvjDabCafuddekLrjEfctbLnbCafuemejDaiJtkFzbKjbcfufjectkKubKjdCrcBrBsDmcbbqcbrdwajaBdadajaabUabaaacbDrdbaacbDrccaabTsbaaabTtjaaabTteaaabTvbaaabTuiaaabBufadaaa" ref="O106"/>
    <hyperlink r:id="rId276" ref="B107"/>
    <hyperlink r:id="rId277" location="bBoDmgakkkcbcEdDmgbbbfbBefubbegGchxkFzfHwbBefuccekFzeGchBvjDabBefuddekLrjEfctbLnbBefuemejDaiJtkFzbKjbBefufjectkKubKjdCraDmcbbqbbradafaabBcbaaabHsqaaabHtbaaabbfaaablfadaaa" ref="I107"/>
    <hyperlink r:id="rId278" location="bBoDmgakkkdbcdBtFcDmgbafbBofubbegGchxkFzfHwbBofuccekFzeGchBvjDabBofudgekLrjEfctbLnbBofuegejDaiJtkFzbKjbcfufgectkKubKjdCrbBbDmcbbqbbrdCjajaBdadajaabBcbdaaccFcbdaabHsidaabHsiaaabHtbdaabbfaaablfdaabBucaaabLpwadaaa" ref="K107"/>
    <hyperlink r:id="rId279" location="bBoDmgakkkdbcdBtFvDmgfafbBrfubbegGchxkFzfHwbBrfuccekFzeGchBvjDabBrfudgekLrjEfctbLnbBrfuegejDaiJtkFzbKjbcfufgectkKubKjdCraDmcbbqbbrdCjaBzaBdadaqaabBcbaaaccFcbdaabHsidaabHsiaaabHtbaaabbbaaablbaaabBudaaacdBrBebaabLpcaaacdBrBecaabLpcaaacdBrBedaabLpcaaacdBrBeeaabLpyadaaa" ref="O107"/>
    <hyperlink r:id="rId280" location="bvDmggkkkcceFnDmgbbbcfbBdfubbegGchxkFzfHwbBdfuccekFzeGchBvjDabBdfuddekLrjEfctbLnbBdfuemejDaiJtkFzbKjbcfufkectkKubKjdCraDmcbbqbbradavaabBbbaaacbvgbaacdBdqbaabBmbaaacdBdqcaabbbaaabImbaaabcbaaabInbaaabdbaaabIobaaabBbbaaacbvfbaabbdaaabImdaaabcdaaabIndaaabddaaabIodaaabBabaaabFhbadaaa" ref="I108"/>
    <hyperlink r:id="rId281" location="bvDmggkkkdcegFgDmgfbbfbBofubbegGchxkFzfHwbBofuccekFzeGchBvjDabBofudgekLrjEfctbLnbBofuegejDaiJtkFzbKjbcfufgectkKubKjdCrbBbDmcbbqbbrdCjajaBdadabaaebBeuaacbvfbaabBbbdaabBmbdaabbbaaabImbaaabcbaaabInbdaabdbaaabIobaaabBbbdaabbdaaabImddaabcdaaabIndaaabddaaabIodaaabBabdaabFhbdaabLpmaaabBubadaaa" ref="K108"/>
    <hyperlink r:id="rId282" location="gid=103343321" ref="O108"/>
    <hyperlink r:id="rId283" location="bChDmgakkkbbFcDmgbafbBmfubbegGchxkFzfHwbBmfuccekFzeGchBvjDabBmfuddekLrjEfctbLnbBmfuemejDaiJtkFzbKjbcfufjectkKubKjdCrcwzDmcbbqbbradayaabBcbaaaccFcbbaacbChbbaabbbaaabcbaaabdbaaabMkbaaaccFcbcaacbChcbaabbbaaabcbaaabdbaaabebaaabfbaaabMkbaaaccFcbdaabMldaaabbcaaabccaaabdcaaabecaaabfcaaabMkcaaabMlgadaaa" ref="I109"/>
    <hyperlink r:id="rId284" location="bChDmgakkkbbFcDmgbafbBofubbegGchxkFzfHwbBofuccekFzeGchBvjDabBofudgekLrjEfctbLnbBofuemejDaiJtkFzbKjbcfufgectkKubKjdCrbBbDmcbbqbbrdBdajaCjadaBaaabBcbdaaccFcbbaacbChbbaabbbaaabcbdaabdbaaabMkbdaaccFcbcaacbChcbaabbbdaabcbaaabdbdaabebdaabfbaaabMkbaaaccFcbdaabMldaaabbcdaabccdaabdcaaabecaaabfcaaabMkcdaabMlgaaabLpqaaabBucadaaa" ref="K109"/>
    <hyperlink r:id="rId285" location="bBqDmggkkkaBlDmgbafbsfubbegGchxkFzfHwbsfuccekFzeGchBvjDabsfuddekLrjEfctbLnbsfuemejDaiJtkFzbKjbsfufjectkKubKjdCraDmcbbqbbradagaabHwbaaabHxbaaacbBqbbaacdsmbaabHybaaabHzgadaaa" ref="I110"/>
    <hyperlink r:id="rId286" location="bBqDmggkkkaBlDmgbafbsfubbegGchxkFzfHwbsfuccekFzeGchBvjDabsfuddekLrjEfctbLnbsfuemejDaiJtkFzbKjbsfufjectkKubKjdCraDmcbbqbbrdDzaDsaDcadahaabHwbaaabHxbaaacbBqbbaacdsmbaabHybaaabHzgaaabBvcadaaa" ref="K110"/>
    <hyperlink r:id="rId287" ref="B111"/>
    <hyperlink r:id="rId288" location="bDkDmggkkkbcEvDmgbbbfbBbfubbegGchxkFzfHwbBbfuccekFzeGchBvjDabBbfudgekLrjEfctbLnbBbfuemejDaiJtkFzbKjbcfufgectkKubKjdCraDmcbbqbbradakaabBcbaaacbDkdbaabSdbaaabBcbaaacbDkdcaacbDkbbaabbiaaabciaaacbDkbaaabSdbadaaa" ref="I111"/>
    <hyperlink r:id="rId289" location="bDkDmggkkkbcEvDmgbbbfbBbfubbegGchxkFzfHwbBbfuccekFzeGchBvjDabBbfudgekLrjEfctbLnbBbfuemejDaiJtkFzbKjbcfufgectkKubKjdCraDmcbbqbbrdCjaDpajadalaacbDkdbaabBcbdaacbDkdcaabSdbdaabBcbdbacbDkdcaacbDkbbaabbidaabciaaacbDkbaaabSdbddaaa" ref="K111"/>
    <hyperlink r:id="rId290" location="bjDmggkkkaBlDmgbafbBvfubbegGchxkFzfHwbBvfuccekFzeGchBvjDabBvfuddekLrjEfctbLnbBvfuemejDaiJtkFzbKjbBvfufjectkKubKjdCrbBiDmcbbqbbradahaabEqbaaabBmbaaabDimaaabDguaaabBcbaaabDifaaabDgiadaaa" ref="N112"/>
    <hyperlink r:id="rId291" location="bjDmggkkkaEiDmgbbbcfbBvfubbegGchxkFzfHwbBvfuccekFzeGchBvjDabBvfudgekLrjEfctbLnbBvfuemejDaiJtkFzbKjbBvfufjectkKubKjdCrbBiDmcbbqbbrdBoaBdaCjadamaabEqbdaabBmbaaabDigaaabDigdaabDguaaabBcbdaabDifaaabDgiaaabDjrdaabDjdaaabLpcaaabBubadaaa" ref="O112"/>
    <hyperlink r:id="rId292" ref="B113"/>
    <hyperlink r:id="rId293" location="gid=906865443" ref="K113"/>
    <hyperlink r:id="rId294" ref="B114"/>
    <hyperlink r:id="rId295" location="bBxDmgakkkaFiDmgbafbBofubbegGchxkFzfHwbBofuccekFzeGchBvjDabBofudgekLrjEfctbLnbBofuemejDaiJtkFzbKjbcfufjectkKubKjdCrbBbDmcbbqbbrdjaCjaBdadamaabIudaaabIuddaabIudaaabBmbdaabIwddaabIufaaabIufdaabIufaaabbddaabcddaabBudaaabLpmadaaa" ref="K114"/>
    <hyperlink r:id="rId296" location="bBxDmgakkkaEpDmgbbbdfbBvfubbegGchxkFzfHwbBvfuccekFzeGchBvjDabBvfuddekLrjEfctbLnbBvfuedejDaiJtkFzbKjbcfufjectkKubKjdCrbBiDmcbbqbbradadaabIufaaabIufaaabIufadaaa" ref="N114"/>
    <hyperlink r:id="rId297" location="bBxDmgakkkaEpDmgbbbdfbBvfubbegGchxkFzfHwbBvfuccekFzeGchBvjDabBvfuddekLrjEfctbLnbBvfuedejDaiJtkFzbKjbcfufjectkKubKjdCrbBiDmcbbqbbrdDsaDcaDradaeaabIufaaabIufaaabIufaaabBvcadaaa" ref="O114"/>
  </hyperlinks>
  <drawing r:id="rId298"/>
  <legacyDrawing r:id="rId299"/>
  <tableParts count="1">
    <tablePart r:id="rId301"/>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 width="11.88"/>
    <col customWidth="1" min="10" max="10" width="19.88"/>
    <col customWidth="1" min="11" max="13" width="13.75"/>
  </cols>
  <sheetData>
    <row r="1" ht="22.5" customHeight="1">
      <c r="A1" s="77" t="s">
        <v>379</v>
      </c>
      <c r="B1" s="78" t="s">
        <v>380</v>
      </c>
      <c r="C1" s="77" t="s">
        <v>381</v>
      </c>
      <c r="D1" s="78" t="s">
        <v>382</v>
      </c>
      <c r="E1" s="77" t="s">
        <v>383</v>
      </c>
      <c r="F1" s="78" t="s">
        <v>384</v>
      </c>
      <c r="G1" s="77" t="s">
        <v>385</v>
      </c>
      <c r="H1" s="78" t="s">
        <v>386</v>
      </c>
      <c r="I1" s="79" t="s">
        <v>387</v>
      </c>
      <c r="J1" s="80" t="s">
        <v>388</v>
      </c>
      <c r="K1" s="81" t="s">
        <v>389</v>
      </c>
      <c r="L1" s="80" t="s">
        <v>390</v>
      </c>
      <c r="M1" s="82" t="s">
        <v>391</v>
      </c>
    </row>
    <row r="2" ht="63.75" customHeight="1">
      <c r="A2" s="83"/>
      <c r="B2" s="84" t="s">
        <v>392</v>
      </c>
      <c r="C2" s="83"/>
      <c r="D2" s="85" t="s">
        <v>393</v>
      </c>
      <c r="E2" s="83"/>
      <c r="F2" s="85" t="s">
        <v>394</v>
      </c>
      <c r="G2" s="83"/>
      <c r="H2" s="85" t="s">
        <v>395</v>
      </c>
      <c r="I2" s="86">
        <v>17.6</v>
      </c>
      <c r="J2" s="87" t="s">
        <v>396</v>
      </c>
      <c r="K2" s="88">
        <v>201.65</v>
      </c>
      <c r="L2" s="87" t="s">
        <v>397</v>
      </c>
      <c r="M2" s="89" t="s">
        <v>398</v>
      </c>
    </row>
    <row r="3" ht="63.75" customHeight="1">
      <c r="A3" s="83"/>
      <c r="B3" s="84" t="s">
        <v>399</v>
      </c>
      <c r="C3" s="90"/>
      <c r="D3" s="85" t="s">
        <v>400</v>
      </c>
      <c r="E3" s="83"/>
      <c r="F3" s="91" t="s">
        <v>401</v>
      </c>
      <c r="G3" s="83"/>
      <c r="H3" s="85" t="s">
        <v>402</v>
      </c>
      <c r="I3" s="86">
        <v>19.0</v>
      </c>
      <c r="J3" s="87" t="s">
        <v>403</v>
      </c>
      <c r="K3" s="88">
        <v>199.39</v>
      </c>
      <c r="L3" s="87" t="s">
        <v>404</v>
      </c>
      <c r="M3" s="89" t="s">
        <v>398</v>
      </c>
    </row>
    <row r="4" ht="63.75" customHeight="1">
      <c r="A4" s="92"/>
      <c r="B4" s="84" t="s">
        <v>405</v>
      </c>
      <c r="C4" s="93"/>
      <c r="D4" s="91" t="s">
        <v>406</v>
      </c>
      <c r="E4" s="83"/>
      <c r="F4" s="85" t="s">
        <v>407</v>
      </c>
      <c r="G4" s="94"/>
      <c r="H4" s="91" t="s">
        <v>408</v>
      </c>
      <c r="I4" s="86">
        <v>21.1</v>
      </c>
      <c r="J4" s="87" t="s">
        <v>409</v>
      </c>
      <c r="K4" s="88">
        <v>159.38</v>
      </c>
      <c r="L4" s="87" t="s">
        <v>410</v>
      </c>
      <c r="M4" s="95" t="s">
        <v>411</v>
      </c>
    </row>
    <row r="5" ht="63.75" customHeight="1">
      <c r="A5" s="83"/>
      <c r="B5" s="84" t="s">
        <v>412</v>
      </c>
      <c r="C5" s="83"/>
      <c r="D5" s="85" t="s">
        <v>413</v>
      </c>
      <c r="E5" s="93"/>
      <c r="F5" s="89" t="s">
        <v>414</v>
      </c>
      <c r="G5" s="94"/>
      <c r="H5" s="85" t="s">
        <v>415</v>
      </c>
      <c r="I5" s="86">
        <v>21.3</v>
      </c>
      <c r="J5" s="87" t="s">
        <v>416</v>
      </c>
      <c r="K5" s="88">
        <v>155.35</v>
      </c>
      <c r="L5" s="87" t="s">
        <v>417</v>
      </c>
      <c r="M5" s="89" t="s">
        <v>398</v>
      </c>
    </row>
    <row r="6" ht="63.75" customHeight="1">
      <c r="A6" s="83"/>
      <c r="B6" s="84" t="s">
        <v>418</v>
      </c>
      <c r="C6" s="83"/>
      <c r="D6" s="85" t="s">
        <v>419</v>
      </c>
      <c r="E6" s="83"/>
      <c r="F6" s="91" t="s">
        <v>420</v>
      </c>
      <c r="G6" s="83"/>
      <c r="H6" s="85" t="s">
        <v>421</v>
      </c>
      <c r="I6" s="86">
        <v>23.7</v>
      </c>
      <c r="J6" s="87" t="s">
        <v>422</v>
      </c>
      <c r="K6" s="88">
        <v>148.9</v>
      </c>
      <c r="L6" s="87" t="s">
        <v>423</v>
      </c>
      <c r="M6" s="89" t="s">
        <v>398</v>
      </c>
    </row>
    <row r="7" ht="63.75" customHeight="1">
      <c r="A7" s="94"/>
      <c r="B7" s="84" t="s">
        <v>424</v>
      </c>
      <c r="C7" s="83"/>
      <c r="D7" s="85" t="s">
        <v>425</v>
      </c>
      <c r="E7" s="93"/>
      <c r="F7" s="91" t="s">
        <v>426</v>
      </c>
      <c r="G7" s="93"/>
      <c r="H7" s="85" t="s">
        <v>427</v>
      </c>
      <c r="I7" s="86">
        <v>18.8</v>
      </c>
      <c r="J7" s="87" t="s">
        <v>428</v>
      </c>
      <c r="K7" s="96">
        <v>148.67</v>
      </c>
      <c r="L7" s="87" t="s">
        <v>429</v>
      </c>
      <c r="M7" s="89" t="s">
        <v>398</v>
      </c>
    </row>
    <row r="8" ht="63.75" customHeight="1">
      <c r="A8" s="83"/>
      <c r="B8" s="84" t="s">
        <v>430</v>
      </c>
      <c r="C8" s="83"/>
      <c r="D8" s="85" t="s">
        <v>393</v>
      </c>
      <c r="E8" s="83"/>
      <c r="F8" s="91" t="s">
        <v>431</v>
      </c>
      <c r="G8" s="83"/>
      <c r="H8" s="85" t="s">
        <v>432</v>
      </c>
      <c r="I8" s="86">
        <v>21.4</v>
      </c>
      <c r="J8" s="87" t="s">
        <v>433</v>
      </c>
      <c r="K8" s="97">
        <v>147.06</v>
      </c>
      <c r="L8" s="87" t="s">
        <v>434</v>
      </c>
      <c r="M8" s="89" t="s">
        <v>398</v>
      </c>
    </row>
    <row r="9" ht="63.75" customHeight="1">
      <c r="A9" s="83"/>
      <c r="B9" s="84" t="s">
        <v>435</v>
      </c>
      <c r="C9" s="83"/>
      <c r="D9" s="85" t="s">
        <v>436</v>
      </c>
      <c r="E9" s="83"/>
      <c r="F9" s="85" t="s">
        <v>437</v>
      </c>
      <c r="G9" s="83"/>
      <c r="H9" s="85" t="s">
        <v>438</v>
      </c>
      <c r="I9" s="86">
        <v>23.1</v>
      </c>
      <c r="J9" s="87" t="s">
        <v>439</v>
      </c>
      <c r="K9" s="88">
        <v>144.41</v>
      </c>
      <c r="L9" s="87" t="s">
        <v>440</v>
      </c>
      <c r="M9" s="89" t="s">
        <v>398</v>
      </c>
    </row>
    <row r="10" ht="63.75" customHeight="1">
      <c r="A10" s="83"/>
      <c r="B10" s="84" t="s">
        <v>441</v>
      </c>
      <c r="C10" s="83"/>
      <c r="D10" s="85" t="s">
        <v>442</v>
      </c>
      <c r="E10" s="83"/>
      <c r="F10" s="91" t="s">
        <v>443</v>
      </c>
      <c r="G10" s="83"/>
      <c r="H10" s="85" t="s">
        <v>444</v>
      </c>
      <c r="I10" s="86">
        <v>19.7</v>
      </c>
      <c r="J10" s="87" t="s">
        <v>445</v>
      </c>
      <c r="K10" s="88">
        <v>142.17</v>
      </c>
      <c r="L10" s="87" t="s">
        <v>446</v>
      </c>
      <c r="M10" s="89" t="s">
        <v>398</v>
      </c>
    </row>
    <row r="11" ht="63.75" customHeight="1">
      <c r="A11" s="83"/>
      <c r="B11" s="84" t="s">
        <v>447</v>
      </c>
      <c r="C11" s="83"/>
      <c r="D11" s="85" t="s">
        <v>400</v>
      </c>
      <c r="E11" s="83"/>
      <c r="F11" s="91" t="s">
        <v>448</v>
      </c>
      <c r="G11" s="83"/>
      <c r="H11" s="91" t="s">
        <v>449</v>
      </c>
      <c r="I11" s="86">
        <v>23.5</v>
      </c>
      <c r="J11" s="87" t="s">
        <v>450</v>
      </c>
      <c r="K11" s="88">
        <v>140.3</v>
      </c>
      <c r="L11" s="87" t="s">
        <v>451</v>
      </c>
      <c r="M11" s="89" t="s">
        <v>398</v>
      </c>
    </row>
    <row r="12" ht="63.75" customHeight="1">
      <c r="A12" s="83"/>
      <c r="B12" s="84" t="s">
        <v>452</v>
      </c>
      <c r="C12" s="83"/>
      <c r="D12" s="85" t="s">
        <v>453</v>
      </c>
      <c r="E12" s="83"/>
      <c r="F12" s="91" t="s">
        <v>454</v>
      </c>
      <c r="G12" s="83"/>
      <c r="H12" s="85" t="s">
        <v>455</v>
      </c>
      <c r="I12" s="86">
        <v>18.0</v>
      </c>
      <c r="J12" s="87" t="s">
        <v>456</v>
      </c>
      <c r="K12" s="88">
        <v>135.56</v>
      </c>
      <c r="L12" s="87" t="s">
        <v>457</v>
      </c>
      <c r="M12" s="89" t="s">
        <v>398</v>
      </c>
    </row>
    <row r="13" ht="63.75" customHeight="1">
      <c r="A13" s="83"/>
      <c r="B13" s="84" t="s">
        <v>458</v>
      </c>
      <c r="C13" s="83"/>
      <c r="D13" s="85" t="s">
        <v>459</v>
      </c>
      <c r="E13" s="83"/>
      <c r="F13" s="85" t="s">
        <v>460</v>
      </c>
      <c r="G13" s="83"/>
      <c r="H13" s="91" t="s">
        <v>461</v>
      </c>
      <c r="I13" s="86">
        <v>15.6</v>
      </c>
      <c r="J13" s="87" t="s">
        <v>462</v>
      </c>
      <c r="K13" s="88">
        <v>133.85</v>
      </c>
      <c r="L13" s="87" t="s">
        <v>463</v>
      </c>
      <c r="M13" s="89" t="s">
        <v>398</v>
      </c>
    </row>
    <row r="14" ht="63.75" customHeight="1">
      <c r="A14" s="83"/>
      <c r="B14" s="84" t="s">
        <v>464</v>
      </c>
      <c r="C14" s="83"/>
      <c r="D14" s="85" t="s">
        <v>465</v>
      </c>
      <c r="E14" s="83"/>
      <c r="F14" s="91" t="s">
        <v>466</v>
      </c>
      <c r="G14" s="83"/>
      <c r="H14" s="91" t="s">
        <v>467</v>
      </c>
      <c r="I14" s="86">
        <v>27.5</v>
      </c>
      <c r="J14" s="87" t="s">
        <v>468</v>
      </c>
      <c r="K14" s="88">
        <v>125.93</v>
      </c>
      <c r="L14" s="87" t="s">
        <v>469</v>
      </c>
      <c r="M14" s="89" t="s">
        <v>398</v>
      </c>
    </row>
    <row r="15" ht="63.75" customHeight="1">
      <c r="A15" s="83"/>
      <c r="B15" s="84" t="s">
        <v>470</v>
      </c>
      <c r="C15" s="83"/>
      <c r="D15" s="85" t="s">
        <v>471</v>
      </c>
      <c r="E15" s="83"/>
      <c r="F15" s="91" t="s">
        <v>472</v>
      </c>
      <c r="G15" s="83"/>
      <c r="H15" s="91" t="s">
        <v>473</v>
      </c>
      <c r="I15" s="86">
        <v>20.0</v>
      </c>
      <c r="J15" s="87" t="s">
        <v>474</v>
      </c>
      <c r="K15" s="88">
        <v>125.12</v>
      </c>
      <c r="L15" s="87" t="s">
        <v>475</v>
      </c>
      <c r="M15" s="89" t="s">
        <v>398</v>
      </c>
    </row>
    <row r="16" ht="63.75" customHeight="1">
      <c r="A16" s="83"/>
      <c r="B16" s="84" t="s">
        <v>476</v>
      </c>
      <c r="C16" s="83"/>
      <c r="D16" s="85" t="s">
        <v>477</v>
      </c>
      <c r="E16" s="83"/>
      <c r="F16" s="85" t="s">
        <v>437</v>
      </c>
      <c r="G16" s="83"/>
      <c r="H16" s="91" t="s">
        <v>478</v>
      </c>
      <c r="I16" s="86">
        <v>19.0</v>
      </c>
      <c r="J16" s="87" t="s">
        <v>479</v>
      </c>
      <c r="K16" s="88">
        <v>124.58</v>
      </c>
      <c r="L16" s="87" t="s">
        <v>480</v>
      </c>
      <c r="M16" s="89" t="s">
        <v>398</v>
      </c>
    </row>
    <row r="17" ht="63.75" customHeight="1">
      <c r="A17" s="98"/>
      <c r="B17" s="99" t="s">
        <v>481</v>
      </c>
      <c r="C17" s="100"/>
      <c r="D17" s="91" t="s">
        <v>482</v>
      </c>
      <c r="E17" s="100"/>
      <c r="F17" s="91" t="s">
        <v>483</v>
      </c>
      <c r="G17" s="100"/>
      <c r="H17" s="91" t="s">
        <v>484</v>
      </c>
      <c r="I17" s="86">
        <v>19.8</v>
      </c>
      <c r="J17" s="87" t="s">
        <v>485</v>
      </c>
      <c r="K17" s="88">
        <v>119.7</v>
      </c>
      <c r="L17" s="87" t="s">
        <v>486</v>
      </c>
      <c r="M17" s="89" t="s">
        <v>398</v>
      </c>
    </row>
    <row r="18" ht="63.75" customHeight="1">
      <c r="A18" s="83"/>
      <c r="B18" s="84" t="s">
        <v>487</v>
      </c>
      <c r="C18" s="83"/>
      <c r="D18" s="101" t="s">
        <v>436</v>
      </c>
      <c r="E18" s="83"/>
      <c r="F18" s="85" t="s">
        <v>488</v>
      </c>
      <c r="G18" s="83"/>
      <c r="H18" s="85" t="s">
        <v>489</v>
      </c>
      <c r="I18" s="86">
        <v>19.6</v>
      </c>
      <c r="J18" s="87" t="s">
        <v>490</v>
      </c>
      <c r="K18" s="88">
        <v>119.03</v>
      </c>
      <c r="L18" s="87" t="s">
        <v>491</v>
      </c>
      <c r="M18" s="89" t="s">
        <v>398</v>
      </c>
    </row>
    <row r="19" ht="63.75" customHeight="1">
      <c r="A19" s="102"/>
      <c r="B19" s="84" t="s">
        <v>492</v>
      </c>
      <c r="C19" s="90"/>
      <c r="D19" s="85" t="s">
        <v>400</v>
      </c>
      <c r="E19" s="83"/>
      <c r="F19" s="91" t="s">
        <v>493</v>
      </c>
      <c r="G19" s="83"/>
      <c r="H19" s="85" t="s">
        <v>494</v>
      </c>
      <c r="I19" s="86">
        <v>20.0</v>
      </c>
      <c r="J19" s="87">
        <v>2.375</v>
      </c>
      <c r="K19" s="88">
        <v>118.75</v>
      </c>
      <c r="L19" s="87" t="s">
        <v>495</v>
      </c>
      <c r="M19" s="89" t="s">
        <v>398</v>
      </c>
    </row>
    <row r="20" ht="63.75" customHeight="1">
      <c r="A20" s="83"/>
      <c r="B20" s="84" t="s">
        <v>496</v>
      </c>
      <c r="C20" s="83"/>
      <c r="D20" s="85" t="s">
        <v>436</v>
      </c>
      <c r="E20" s="83"/>
      <c r="F20" s="85" t="s">
        <v>488</v>
      </c>
      <c r="G20" s="83"/>
      <c r="H20" s="85" t="s">
        <v>489</v>
      </c>
      <c r="I20" s="86">
        <v>20.2</v>
      </c>
      <c r="J20" s="87" t="s">
        <v>497</v>
      </c>
      <c r="K20" s="88">
        <v>114.95</v>
      </c>
      <c r="L20" s="87" t="s">
        <v>498</v>
      </c>
      <c r="M20" s="89" t="s">
        <v>398</v>
      </c>
    </row>
    <row r="21" ht="63.75" customHeight="1">
      <c r="A21" s="83"/>
      <c r="B21" s="84" t="s">
        <v>499</v>
      </c>
      <c r="C21" s="90"/>
      <c r="D21" s="85" t="s">
        <v>400</v>
      </c>
      <c r="E21" s="83"/>
      <c r="F21" s="91">
        <v>514.0</v>
      </c>
      <c r="G21" s="83"/>
      <c r="H21" s="85" t="s">
        <v>500</v>
      </c>
      <c r="I21" s="86">
        <v>17.4</v>
      </c>
      <c r="J21" s="87" t="s">
        <v>501</v>
      </c>
      <c r="K21" s="97">
        <v>114.51</v>
      </c>
      <c r="L21" s="87" t="s">
        <v>502</v>
      </c>
      <c r="M21" s="89" t="s">
        <v>398</v>
      </c>
    </row>
    <row r="22" ht="63.75" customHeight="1">
      <c r="A22" s="83"/>
      <c r="B22" s="84" t="s">
        <v>503</v>
      </c>
      <c r="C22" s="83"/>
      <c r="D22" s="85" t="s">
        <v>459</v>
      </c>
      <c r="E22" s="83"/>
      <c r="F22" s="85" t="s">
        <v>414</v>
      </c>
      <c r="G22" s="90"/>
      <c r="H22" s="85" t="s">
        <v>438</v>
      </c>
      <c r="I22" s="86">
        <v>18.7</v>
      </c>
      <c r="J22" s="87" t="s">
        <v>504</v>
      </c>
      <c r="K22" s="88">
        <v>113.16</v>
      </c>
      <c r="L22" s="87" t="s">
        <v>505</v>
      </c>
      <c r="M22" s="89" t="s">
        <v>398</v>
      </c>
    </row>
    <row r="23" ht="63.75" customHeight="1">
      <c r="A23" s="83"/>
      <c r="B23" s="84" t="s">
        <v>506</v>
      </c>
      <c r="C23" s="83"/>
      <c r="D23" s="85" t="s">
        <v>507</v>
      </c>
      <c r="E23" s="83"/>
      <c r="F23" s="91" t="s">
        <v>508</v>
      </c>
      <c r="G23" s="83"/>
      <c r="H23" s="91" t="s">
        <v>509</v>
      </c>
      <c r="I23" s="86">
        <v>23.6</v>
      </c>
      <c r="J23" s="87" t="s">
        <v>510</v>
      </c>
      <c r="K23" s="88">
        <v>108.86</v>
      </c>
      <c r="L23" s="87" t="s">
        <v>511</v>
      </c>
      <c r="M23" s="89" t="s">
        <v>398</v>
      </c>
    </row>
    <row r="24" ht="63.75" customHeight="1">
      <c r="A24" s="83"/>
      <c r="B24" s="84" t="s">
        <v>512</v>
      </c>
      <c r="C24" s="83"/>
      <c r="D24" s="85" t="s">
        <v>513</v>
      </c>
      <c r="E24" s="83"/>
      <c r="F24" s="85" t="s">
        <v>393</v>
      </c>
      <c r="G24" s="83"/>
      <c r="H24" s="91" t="s">
        <v>514</v>
      </c>
      <c r="I24" s="86">
        <v>20.0</v>
      </c>
      <c r="J24" s="87" t="s">
        <v>515</v>
      </c>
      <c r="K24" s="97">
        <v>102.15</v>
      </c>
      <c r="L24" s="87" t="s">
        <v>516</v>
      </c>
      <c r="M24" s="89" t="s">
        <v>398</v>
      </c>
    </row>
    <row r="25" ht="63.75" customHeight="1">
      <c r="A25" s="83"/>
      <c r="B25" s="84" t="s">
        <v>517</v>
      </c>
      <c r="C25" s="83"/>
      <c r="D25" s="85" t="s">
        <v>518</v>
      </c>
      <c r="E25" s="83"/>
      <c r="F25" s="91" t="s">
        <v>519</v>
      </c>
      <c r="G25" s="83"/>
      <c r="H25" s="91" t="s">
        <v>520</v>
      </c>
      <c r="I25" s="86">
        <v>23.0</v>
      </c>
      <c r="J25" s="87" t="s">
        <v>521</v>
      </c>
      <c r="K25" s="88">
        <v>98.28</v>
      </c>
      <c r="L25" s="87" t="s">
        <v>522</v>
      </c>
      <c r="M25" s="89" t="s">
        <v>398</v>
      </c>
    </row>
    <row r="26" ht="63.75" customHeight="1">
      <c r="A26" s="83"/>
      <c r="B26" s="99" t="s">
        <v>523</v>
      </c>
      <c r="C26" s="83"/>
      <c r="D26" s="85" t="s">
        <v>524</v>
      </c>
      <c r="E26" s="83"/>
      <c r="F26" s="91" t="s">
        <v>525</v>
      </c>
      <c r="G26" s="83"/>
      <c r="H26" s="91" t="s">
        <v>519</v>
      </c>
      <c r="I26" s="86">
        <v>20.9</v>
      </c>
      <c r="J26" s="87" t="s">
        <v>526</v>
      </c>
      <c r="K26" s="88">
        <v>98.22</v>
      </c>
      <c r="L26" s="87" t="s">
        <v>527</v>
      </c>
      <c r="M26" s="89" t="s">
        <v>398</v>
      </c>
    </row>
    <row r="27" ht="63.75" customHeight="1">
      <c r="A27" s="83"/>
      <c r="B27" s="84" t="s">
        <v>528</v>
      </c>
      <c r="C27" s="83"/>
      <c r="D27" s="85" t="s">
        <v>529</v>
      </c>
      <c r="E27" s="83"/>
      <c r="F27" s="85" t="s">
        <v>437</v>
      </c>
      <c r="G27" s="83"/>
      <c r="H27" s="91" t="s">
        <v>472</v>
      </c>
      <c r="I27" s="86">
        <v>18.5</v>
      </c>
      <c r="J27" s="87" t="s">
        <v>530</v>
      </c>
      <c r="K27" s="88">
        <v>97.49</v>
      </c>
      <c r="L27" s="87" t="s">
        <v>531</v>
      </c>
      <c r="M27" s="89" t="s">
        <v>398</v>
      </c>
    </row>
    <row r="28" ht="63.75" customHeight="1">
      <c r="A28" s="83"/>
      <c r="B28" s="84" t="s">
        <v>532</v>
      </c>
      <c r="C28" s="83"/>
      <c r="D28" s="91" t="s">
        <v>533</v>
      </c>
      <c r="E28" s="83"/>
      <c r="F28" s="91" t="s">
        <v>534</v>
      </c>
      <c r="G28" s="83"/>
      <c r="H28" s="85" t="s">
        <v>535</v>
      </c>
      <c r="I28" s="86">
        <v>19.7</v>
      </c>
      <c r="J28" s="87" t="s">
        <v>536</v>
      </c>
      <c r="K28" s="88">
        <v>94.21</v>
      </c>
      <c r="L28" s="87" t="s">
        <v>537</v>
      </c>
      <c r="M28" s="89" t="s">
        <v>398</v>
      </c>
    </row>
    <row r="29" ht="63.75" customHeight="1">
      <c r="A29" s="83"/>
      <c r="B29" s="84" t="s">
        <v>538</v>
      </c>
      <c r="C29" s="83"/>
      <c r="D29" s="85" t="s">
        <v>393</v>
      </c>
      <c r="E29" s="83"/>
      <c r="F29" s="85" t="s">
        <v>394</v>
      </c>
      <c r="G29" s="83"/>
      <c r="H29" s="85" t="s">
        <v>395</v>
      </c>
      <c r="I29" s="86">
        <v>20.5</v>
      </c>
      <c r="J29" s="87" t="s">
        <v>539</v>
      </c>
      <c r="K29" s="88">
        <v>92.25</v>
      </c>
      <c r="L29" s="87" t="s">
        <v>540</v>
      </c>
      <c r="M29" s="89" t="s">
        <v>398</v>
      </c>
    </row>
    <row r="30" ht="63.75" customHeight="1">
      <c r="A30" s="83"/>
      <c r="B30" s="84" t="s">
        <v>541</v>
      </c>
      <c r="C30" s="83"/>
      <c r="D30" s="85" t="s">
        <v>542</v>
      </c>
      <c r="E30" s="83"/>
      <c r="F30" s="91" t="s">
        <v>543</v>
      </c>
      <c r="G30" s="83"/>
      <c r="H30" s="91" t="s">
        <v>544</v>
      </c>
      <c r="I30" s="86">
        <v>24.1</v>
      </c>
      <c r="J30" s="87" t="s">
        <v>545</v>
      </c>
      <c r="K30" s="88">
        <v>85.52</v>
      </c>
      <c r="L30" s="87" t="s">
        <v>546</v>
      </c>
      <c r="M30" s="89" t="s">
        <v>398</v>
      </c>
    </row>
    <row r="31" ht="63.75" customHeight="1">
      <c r="A31" s="83"/>
      <c r="B31" s="84" t="s">
        <v>547</v>
      </c>
      <c r="C31" s="83"/>
      <c r="D31" s="85" t="s">
        <v>548</v>
      </c>
      <c r="E31" s="83"/>
      <c r="F31" s="91" t="s">
        <v>549</v>
      </c>
      <c r="G31" s="83"/>
      <c r="H31" s="85" t="s">
        <v>550</v>
      </c>
      <c r="I31" s="86">
        <v>20.0</v>
      </c>
      <c r="J31" s="87" t="s">
        <v>551</v>
      </c>
      <c r="K31" s="97">
        <v>69.1</v>
      </c>
      <c r="L31" s="87" t="s">
        <v>552</v>
      </c>
      <c r="M31" s="89" t="s">
        <v>398</v>
      </c>
    </row>
    <row r="32" ht="63.75" customHeight="1">
      <c r="A32" s="93"/>
      <c r="B32" s="100"/>
      <c r="C32" s="93"/>
      <c r="D32" s="100"/>
      <c r="E32" s="93"/>
      <c r="F32" s="100"/>
      <c r="G32" s="93"/>
      <c r="H32" s="100"/>
      <c r="I32" s="103"/>
      <c r="J32" s="104"/>
      <c r="K32" s="105"/>
      <c r="L32" s="104"/>
      <c r="M32" s="89"/>
    </row>
    <row r="33" ht="63.75" customHeight="1">
      <c r="A33" s="93"/>
      <c r="B33" s="100"/>
      <c r="C33" s="93"/>
      <c r="D33" s="100"/>
      <c r="E33" s="93"/>
      <c r="F33" s="100"/>
      <c r="G33" s="93"/>
      <c r="H33" s="100"/>
      <c r="I33" s="103"/>
      <c r="J33" s="104"/>
      <c r="K33" s="105"/>
      <c r="L33" s="104"/>
      <c r="M33" s="89"/>
    </row>
    <row r="34" ht="63.75" customHeight="1">
      <c r="A34" s="93"/>
      <c r="B34" s="100"/>
      <c r="C34" s="93"/>
      <c r="D34" s="100"/>
      <c r="E34" s="93"/>
      <c r="F34" s="100"/>
      <c r="G34" s="93"/>
      <c r="H34" s="100"/>
      <c r="I34" s="103"/>
      <c r="J34" s="104"/>
      <c r="K34" s="105"/>
      <c r="L34" s="104"/>
      <c r="M34" s="89"/>
    </row>
    <row r="35" ht="63.75" customHeight="1">
      <c r="A35" s="93"/>
      <c r="B35" s="100"/>
      <c r="C35" s="93"/>
      <c r="D35" s="100"/>
      <c r="E35" s="93"/>
      <c r="F35" s="100"/>
      <c r="G35" s="93"/>
      <c r="H35" s="100"/>
      <c r="I35" s="103"/>
      <c r="J35" s="104"/>
      <c r="K35" s="105"/>
      <c r="L35" s="104"/>
      <c r="M35" s="100"/>
    </row>
    <row r="36" ht="63.75" customHeight="1">
      <c r="A36" s="93"/>
      <c r="B36" s="100"/>
      <c r="C36" s="83"/>
      <c r="D36" s="100"/>
      <c r="E36" s="93"/>
      <c r="F36" s="100"/>
      <c r="G36" s="94"/>
      <c r="H36" s="100"/>
      <c r="I36" s="103"/>
      <c r="J36" s="104"/>
      <c r="K36" s="105"/>
      <c r="L36" s="104"/>
      <c r="M36" s="100"/>
    </row>
    <row r="37" ht="63.75" customHeight="1">
      <c r="A37" s="106"/>
      <c r="B37" s="100"/>
      <c r="C37" s="100"/>
      <c r="D37" s="100"/>
      <c r="E37" s="100"/>
      <c r="F37" s="100"/>
      <c r="G37" s="100"/>
      <c r="H37" s="100"/>
      <c r="I37" s="103"/>
      <c r="J37" s="104"/>
      <c r="K37" s="105"/>
      <c r="L37" s="104"/>
      <c r="M37" s="100"/>
    </row>
    <row r="38" ht="63.75" customHeight="1">
      <c r="A38" s="106"/>
      <c r="B38" s="100"/>
      <c r="C38" s="100"/>
      <c r="D38" s="100"/>
      <c r="E38" s="100"/>
      <c r="F38" s="100"/>
      <c r="G38" s="100"/>
      <c r="H38" s="100"/>
      <c r="I38" s="103"/>
      <c r="J38" s="104"/>
      <c r="K38" s="105"/>
      <c r="L38" s="104"/>
      <c r="M38" s="100"/>
    </row>
    <row r="39" ht="63.75" customHeight="1">
      <c r="A39" s="106"/>
      <c r="B39" s="100"/>
      <c r="C39" s="100"/>
      <c r="D39" s="100"/>
      <c r="E39" s="100"/>
      <c r="F39" s="100"/>
      <c r="G39" s="100"/>
      <c r="H39" s="100"/>
      <c r="I39" s="103"/>
      <c r="J39" s="104"/>
      <c r="K39" s="105"/>
      <c r="L39" s="104"/>
      <c r="M39" s="100"/>
    </row>
    <row r="40" ht="63.75" customHeight="1">
      <c r="A40" s="106"/>
      <c r="B40" s="100"/>
      <c r="C40" s="100"/>
      <c r="D40" s="100"/>
      <c r="E40" s="100"/>
      <c r="F40" s="100"/>
      <c r="G40" s="100"/>
      <c r="H40" s="100"/>
      <c r="I40" s="103"/>
      <c r="J40" s="104"/>
      <c r="K40" s="105"/>
      <c r="L40" s="104"/>
      <c r="M40" s="100"/>
    </row>
    <row r="41" ht="63.75" customHeight="1">
      <c r="A41" s="106"/>
      <c r="B41" s="100"/>
      <c r="C41" s="100"/>
      <c r="D41" s="100"/>
      <c r="E41" s="100"/>
      <c r="F41" s="100"/>
      <c r="G41" s="100"/>
      <c r="H41" s="100"/>
      <c r="I41" s="103"/>
      <c r="J41" s="104"/>
      <c r="K41" s="105"/>
      <c r="L41" s="104"/>
      <c r="M41" s="100"/>
    </row>
    <row r="42" ht="63.75" customHeight="1">
      <c r="A42" s="106"/>
      <c r="B42" s="100"/>
      <c r="C42" s="100"/>
      <c r="D42" s="100"/>
      <c r="E42" s="100"/>
      <c r="F42" s="100"/>
      <c r="G42" s="100"/>
      <c r="H42" s="100"/>
      <c r="I42" s="103"/>
      <c r="J42" s="104"/>
      <c r="K42" s="105"/>
      <c r="L42" s="104"/>
      <c r="M42" s="100"/>
    </row>
    <row r="43" ht="63.75" customHeight="1">
      <c r="A43" s="106"/>
      <c r="B43" s="100"/>
      <c r="C43" s="100"/>
      <c r="D43" s="100"/>
      <c r="E43" s="100"/>
      <c r="F43" s="100"/>
      <c r="G43" s="100"/>
      <c r="H43" s="100"/>
      <c r="I43" s="103"/>
      <c r="J43" s="104"/>
      <c r="K43" s="105"/>
      <c r="L43" s="104"/>
      <c r="M43" s="100"/>
    </row>
    <row r="44" ht="63.75" customHeight="1">
      <c r="A44" s="106"/>
      <c r="B44" s="100"/>
      <c r="C44" s="100"/>
      <c r="D44" s="100"/>
      <c r="E44" s="100"/>
      <c r="F44" s="100"/>
      <c r="G44" s="100"/>
      <c r="H44" s="100"/>
      <c r="I44" s="103"/>
      <c r="J44" s="104"/>
      <c r="K44" s="105"/>
      <c r="L44" s="104"/>
      <c r="M44" s="100"/>
    </row>
    <row r="45" ht="63.75" customHeight="1">
      <c r="A45" s="106"/>
      <c r="B45" s="100"/>
      <c r="C45" s="100"/>
      <c r="D45" s="100"/>
      <c r="E45" s="100"/>
      <c r="F45" s="100"/>
      <c r="G45" s="100"/>
      <c r="H45" s="100"/>
      <c r="I45" s="103"/>
      <c r="J45" s="104"/>
      <c r="K45" s="105"/>
      <c r="L45" s="104"/>
      <c r="M45" s="100"/>
    </row>
    <row r="46" ht="63.75" customHeight="1">
      <c r="A46" s="106"/>
      <c r="B46" s="100"/>
      <c r="C46" s="100"/>
      <c r="D46" s="100"/>
      <c r="E46" s="100"/>
      <c r="F46" s="100"/>
      <c r="G46" s="100"/>
      <c r="H46" s="100"/>
      <c r="I46" s="103"/>
      <c r="J46" s="104"/>
      <c r="K46" s="105"/>
      <c r="L46" s="104"/>
      <c r="M46" s="100"/>
    </row>
    <row r="47" ht="63.75" customHeight="1">
      <c r="A47" s="106"/>
      <c r="B47" s="100"/>
      <c r="C47" s="100"/>
      <c r="D47" s="100"/>
      <c r="E47" s="100"/>
      <c r="F47" s="100"/>
      <c r="G47" s="100"/>
      <c r="H47" s="100"/>
      <c r="I47" s="103"/>
      <c r="J47" s="104"/>
      <c r="K47" s="105"/>
      <c r="L47" s="104"/>
      <c r="M47" s="100"/>
    </row>
    <row r="48" ht="63.75" customHeight="1">
      <c r="A48" s="107"/>
      <c r="B48" s="108"/>
      <c r="C48" s="108"/>
      <c r="D48" s="108"/>
      <c r="E48" s="108"/>
      <c r="F48" s="108"/>
      <c r="G48" s="108"/>
      <c r="H48" s="108"/>
      <c r="I48" s="103"/>
      <c r="J48" s="104"/>
      <c r="K48" s="105"/>
      <c r="L48" s="104"/>
      <c r="M48" s="100"/>
    </row>
    <row r="49" ht="63.75" customHeight="1">
      <c r="A49" s="107"/>
      <c r="B49" s="108"/>
      <c r="C49" s="108"/>
      <c r="D49" s="108"/>
      <c r="E49" s="108"/>
      <c r="F49" s="108"/>
      <c r="G49" s="108"/>
      <c r="H49" s="108"/>
      <c r="I49" s="103"/>
      <c r="J49" s="104"/>
      <c r="K49" s="109"/>
      <c r="L49" s="104"/>
      <c r="M49" s="100"/>
    </row>
    <row r="50" ht="63.75" customHeight="1">
      <c r="A50" s="107"/>
      <c r="B50" s="108"/>
      <c r="C50" s="108"/>
      <c r="D50" s="108"/>
      <c r="E50" s="108"/>
      <c r="F50" s="108"/>
      <c r="G50" s="108"/>
      <c r="H50" s="108"/>
      <c r="I50" s="103"/>
      <c r="J50" s="104"/>
      <c r="K50" s="109"/>
      <c r="L50" s="104"/>
      <c r="M50" s="100"/>
    </row>
  </sheetData>
  <conditionalFormatting sqref="A1:M1">
    <cfRule type="colorScale" priority="1">
      <colorScale>
        <cfvo type="min"/>
        <cfvo type="max"/>
        <color rgb="FFFFFFFF"/>
        <color rgb="FF57BB8A"/>
      </colorScale>
    </cfRule>
  </conditionalFormatting>
  <hyperlinks>
    <hyperlink r:id="rId2" location="bDsDmgakkkebHscdeHlDmgbcbcfbCbfubbegGckFzhxfHwbCbfuccekFzeGchBvjDabCbfudgekLrjEfctbLnbCbfuepejDaiJtkFzbKjbCbfufkectkKubKjdCrcBpBqDmcbbqbfrdDvaDpchETcbkfgbBHhckdefgCbCcBfEDZsCeETcdavaabBcbaaacfDpebaacgaCdbaabUueaaacgajeaacbDsfBeaacfDvcbaacffdbaacgahbaacgaCfbbacganfaabBmbbaabUqcaaabUqcbaabUrbaaabUtbaaabUqcaaacgajaaabUqcaaabUrbbaabUtbadaaa" ref="B2"/>
    <hyperlink r:id="rId3" location="bfDmggkkkacDmgbafbsfubbegGchxkFzfHwbsfuccekFzeGchBvjDabsfudhekLrjEfctbLnbsfuepejDaiJtkFzbKjbsfufjectkKubKjdCraDmcbbqbdrdDsaDvaDpaCbCcdaeaabBbbaaacbfcbaacdsmbaabBmbadaaa" ref="D2"/>
    <hyperlink r:id="rId4" location="bDpDmgakkkcbdHdDmgbafbcfubbegGchxkFzfHwbcfuccekFzeGchBvjDabcfudeekLrjEfctbLnbcfueoejDaiJtkFzbKjbcfufjectkKubKjdCrbBcdDmcbabrdDsafaDvadafaabSwbaaabSsbaaabStbaaaccHdbcaaccHdcbdaaa" ref="F2"/>
    <hyperlink r:id="rId5" location="bDvDmgakkkbcHnDmgbafbCafubbegGchxkFzfHwbCafuccekFzeGchBvjDabCafudhekLrjEfctbLnbCafuegejDaiJtkFzbKjbCafufgectkKubKjdCrcBrBsDmcbbqbcrdDsafebBHhckefDpcbkehdajaacgaCfbaacffdbaabUgbbaabUibbaabUjbaaacffdaaacgaCfaaabUhkaaabUhcbdaaa" ref="H2"/>
    <hyperlink r:id="rId6" location="bEcDmgakkkfbfmcdddeHtDmgbafbCdfubbegGchxkFzfHwbCdfuccekFzeGchBvjDabCdfuddekLrjEfctbLnbCdfuedejDaiJtkFzbKjbcfufjectkKubKjdCraDmcbbqbgrdEabcDbcbkcLoDvamCbCcCfbCgbdataacdCdBvbaabVvfaaabVqbaaacdCdBvaaacfDbcLoaaccHtbbaaccHtcbaablbaaabbbaaabcbaaabdbaaabebaaabfbaaacdCdBubaabbcaaabccaaabdcaaabecaaabfcadaaa" ref="B3"/>
    <hyperlink r:id="rId7" location="bDvDmgakkkbcHnDmgbafbCafubbegGchxkFzfHwbCafuccekFzeGchBvjDabCafudhekLrjEfctbLnbCafuegejDaiJtkFzbKjbCafufgectkKubKjdCrcBrBsDmcbbqbbrdEcbbEaaDbcbkcBedabaabUgbadaaa" ref="D3"/>
    <hyperlink r:id="rId8" location="bEaDmgakkkaHrDmgbbcfbBvfubbegGchxkFzfHwbBvfuccekFzeGchBvjDabBvfuddekLrjEfctbLnbBvfueqejDaiJtkFzbKjbcfufjectkKubKjdCrbBiDmcbbqberdEcbbDbbbkDvamCbCcdaiaacgaCfbaabBcbaaabBmbaaabVgbaaabVgbaaacgaCfaaaccHrbbaaebDwcaacfDbcLoaabVgoadaaa" ref="F3"/>
    <hyperlink r:id="rId9" location="bDbDmgakkkahDmgfafbBcfubbegGchxkFzfHwbBcfuccekFzeGchBvjDabBcfudfekLrjEfctbLnbBcfuefejDaiJtkFzbKjbBcfufjectkKubKjdCraDmcbbqbbrdEcbbEabcDvadahaabPxbaaabBmbaaacbDbbeaacgaCbbaacgaCcbaacfDvcbaaebCoeaacbDbcLoaabPzlaaabPygaaabQaeadaaa" ref="H3"/>
    <hyperlink r:id="rId10" location="bBuDmggkkkcbddEnDmgbafbBkfubbegGchxkFzfHwbBkfuccekCceGchBvjFgbBkfudeekEfjHjctbLnbBkfueoejDaiJtkFzbKjbcfufjectkKubKjdCrcteveDmcbafrdDpcbkeBtgbkfcgdeDsaydcKuuEqzJwfgCbdabaaebBycaacgahbaaebCxjaacbBucbaabBcbaaabIinaaabIjbaaabbbaaabcbaaabIidaaabIjbaaabBcbadaaa" ref="B4"/>
    <hyperlink r:id="rId11" location="gid=1089293944" ref="D4"/>
    <hyperlink r:id="rId12" location="bBtDmggkkkaBcDmgfafbCafubbegGchxkFzfHwbCafuccekFzeGchBvjDabCafudeekLrjEfctbLnbCafueoejDaiJtkFzbKjbCafufjectkKubKjdCrbBrDmcbbqbdrdBubbDpcbkeDsaydqXcuEqzJwgdafaabBcbaaacbBtcbaacgahbaabBmbaaabIlgadaaa" ref="F4"/>
    <hyperlink r:id="rId13" location="gid=1901931405" ref="H4"/>
    <hyperlink r:id="rId14" location="gid=1015121446" ref="B5"/>
    <hyperlink r:id="rId15" location="bCjDmgakkkbcFiDmgbafbBvfubbegGchxkFzfHwbBvfuccekFzeGchBvjDabBvfudgekLrjEfctbLnbBvfuesejDaiJtkFzbKjbBvfufjectkKubKjdCrbBiDmcbaerdCoaCsaBdaybhEqwvdacaabBbbaaabMmiadaaa" ref="D5"/>
    <hyperlink r:id="rId16" location="gid=639377153" ref="H5"/>
    <hyperlink r:id="rId17" location="bDoDmgakkkdbdcbddFxDmgfbbfbBofubbegGchxkFzfHwbBofuccekFzeGchBvjDabBofudfekLrjEfctbLnbBofuerejDaiJtkFzbKjbcfufkectkKubKjdCrbBbDmcbafrdDuaDpcbkeDsaCbCcCdbCeETcdalaacfDsbBmaacgaCfbaacgaieaacgajdaabBmbcaacgaiaaacfDsbaaacgaCfaaacfDubbaacgaCfbaaebClgaacfDsbBeaacgaieaacgajdaabSnbcaabSnbcaabSnbcdaaa" ref="B6"/>
    <hyperlink r:id="rId18" location="bDpDmgakkkcbdHdDmgbafbcfubbegGchxkFzfHwbcfuccekFzeGchBvjDabcfudeekLrjEfctbLnbcfueoejDaiJtkFzbKjbcfufjectkKubKjdCrbBcdDmcbabrdDsaDoaDuadakaabSwbaaabSsbaaabStbaaaccHdbcaaccHdcbaacgaCfbaacfDsbBeaabSwbaaabSsbaaabStbadaaa" ref="D6"/>
    <hyperlink r:id="rId19" location="bDsDmgakkkebHscdeHlDmgbcbcfbCafubbecsiEtkHmjCobCafucceeCbhBokFcjDpbCafuddedBneEbkFcjCsbCafuepefEujEbiGteCbbCafufjebTokHuiDncqcBrBsDmcbbqbcrdDoaDpcbkeDuaBfEDZsdalaacbDsfBnaacgaCfbaabBmbcaabUlbaaabUtbaaacbDsfaaacbDsfpaabBcbcaacgaCfaaabUudaaabUudadaaa" ref="F6"/>
    <hyperlink r:id="rId20" location="bDuDmggkkkaHnDmgbbbfbBafubbegGchxkFzfHwbBafuccekFzeGchBvjDabBafuddekLrjEfctbLnbBafuenejDaiJtkFzbKjbBafufjectkKubKjdCrbreDmcbabrdDoaDsaDpadahaabUbeaaabUdeaaacbDubbaabBmdaaabUbeaaabUdeaaabCadadaaa" ref="H6"/>
    <hyperlink r:id="rId21" location="gid=1770781884" ref="B7"/>
    <hyperlink r:id="rId22" location="bwDmggkkkbbcFiDmgbafbBafubbegGchxkFzfHwbBafuccekFzeGchBvjDabBafudgekLrjEfctbLnbBafuegejDaiJtkFzbKjbBafufgectkKubKjdCrbrgDmcbadrdDiaEeaBzaybhEqpbdagaabBcbababBoeababBkeababCadaaabBzbababBcbadaaa" ref="D7"/>
    <hyperlink r:id="rId23" location="gid=982020803" ref="F7"/>
    <hyperlink r:id="rId24" location="gid=513764937" ref="H7"/>
    <hyperlink r:id="rId25" location="bDqDmgakkkaHiDmgbafbCbfubbegGchxkFzfHwbCbfuccekFzeGchBvjDabCbfuddekLrjEfctbLnbCbfuedejDaiJtkFzbKjbCbfufkectkKubKjdCrbBpDmcbbqbbrdDvbcDsbbsffbBHhckefgdayaacgaCfbaacgahbaacffdbaabSzbaaabBycaaacdCbBqbaaccHibbaabTbjaaacgaCbbaacgaCcbaabTobbaabTcbbaabTccaaabTchaaabTgdaaabTgcbaacffdaaacgahaaabThbaaabTjbbaabTjdaaabTmcaaabCbdaaabTrbbdaaa" ref="B8"/>
    <hyperlink r:id="rId26" location="bfDmggkkkacDmgbafbsfubbegGchxkFzfHwbsfuccekFzeGchBvjDabsfudhekLrjEfctbLnbsfuepejDaiJtkFzbKjbsfufjectkKubKjdCraDmcbbqbdrdDqaDvaDsaCbCcdaeaabBbbaaacbfcbaacdsmbaabBmbadaaa" ref="D8"/>
    <hyperlink r:id="rId27" location="bDsDmgakkkebHscdeHlDmgbcbcfbCbfubbecsiEtkHmjCobCbfucceeCbhBokFcjDpbCbfudgedBneEbkFcjCsbCbfuepefEujEbiGteCbbCbfufkebTokHuiDncqcBpBqDmcbbqbfrdDqaffbBHhckefgDvbcCbCcBfEDZsCeETcdaiaabUueaaacgahbaabUucbaacgaCfbaacbDsfBnaacffdbaabBmbbaabUtbadaaa" ref="F8"/>
    <hyperlink r:id="rId28" location="bDvDmgakkkbcHnDmgbafbCafubbegGchxkFzfHwbCafuccekFzeGchBvjDabCafudhekLrjEfctbLnbCafuegejDaiJtkFzbKjbCafufgectkKubKjdCrcBrBsDmcbbqbcrdDsafebBHhckefDqahdajaacffdbaacgaCfbaabUgbbaabUibbaabUjbaaacffdaaacgaCfaaabUhkaaabUhcbdaaa" ref="H8"/>
    <hyperlink r:id="rId29" ref="K8"/>
    <hyperlink r:id="rId30" location="bDeDmggkkkbcHgDmgfbbfbhfubbegGchxkFzfHwbhfuccekFzeGchBvjDabhfudgekLrjEfctbLnbhfuepejDaiJtkFzbKjbcfufkectkKubKjdCrbgdDmcbbqcbrdDvaDfcbEYwcbfgbBHhckdefgdasaabRdbaaacgaCbbaacgaCcbaacgahbaacfDfdbaacgaCabaacffdbaacfDvcbaacgaCfbaacgaiiaabRebbaabRdcbaacgaiaaabRddbaacfDfdaaacffdaaacgahaaabRdbbdaaa" ref="B9"/>
    <hyperlink r:id="rId31" location="bfDmggkkkacDmgbafbsfubbegGchxkFzfHwbsfuccekFzeGchBvjDabsfudhekLrjEfctbLnbsfuepejDaiJtkFzbKjbsfufjectkKubKjdCraDmcbbqberdDeaDvaDfaiiCbCcdaeaabBbbaaacbfcbaacdsmbaabBmbadaaa" ref="D9"/>
    <hyperlink r:id="rId32" location="bDfDmgakkkaGnDmgbafbBafubbegGchxkFzfHwbBafuccekFzeGchBvjDabBafudhekLrjEfctbLnbBafuedejDaiJtkFzbKjbBafufdectkKubKjdCrbrkDmcbbqbbrdDeafaDvadafaabBcbaaabQwbaaabBmbaaabQzgaaabCbcadaaa" ref="F9"/>
    <hyperlink r:id="rId33" location="bDvDmgakkkbcHnDmgbafbCafubbegGchxkFzfHwbCafuccekFzeGchBvjDabCafudhekLrjEfctbLnbCafuegejDaiJtkFzbKjbCafufgectkKubKjdCrcBrBsDmcbbqbcrdDeaffbBHhckefgDfahdajaacgaCfbaacffdbaabUgbbaabUibbaabUjbaaacffdaaacgaCfaaabUhkaaabUhcadaaa" ref="H9"/>
    <hyperlink r:id="rId34" location="bDhDmgakkkaGqDmgbafbByfubbegGchxkFzfHwbByfuccekFzeGchBvjDabByfudgekLrjEfctbLnbByfuepejDaiJtkFzbKjbCafufjectkKubKjdCraDmcbadrdDvbcffbBHhckefgEaaCbCcdaBeaacbDhdbaabRkbaaabRlbaaabRmbaaacffdbaacbDhbBYaaacgahbaacdByBobaacebqbaacgaCfbaacgaCgbaabmbbaacbDhbCHqaacdByBocaabbbbaacdByBodaabcbaaabdbaaabbbbaabcbaaabdbaaabbbbaabcbaaabdbaaabbbbaabcbaaabdbaaabbbbaabcbaaabdbadaaa" ref="B10"/>
    <hyperlink r:id="rId35" location="bfDmggkkkacDmgbafbsfubbegGchxkFzfHwbsfuccekFzeGchBvjDabsfudhekLrjEfctbLnbsfuepejDaiJtkFzbKjbsfufjectkKubKjdCraDmcbadrdDhaDvbcEaaCbCcdaeaabBbbbaacbfcbaacdsmbaabBmbadaaa" ref="D10"/>
    <hyperlink r:id="rId36" location="bEaDmgakkkaHrDmgbbcfbBvfubbegGchxkFzfHwbBvfuccekFzeGchBvjDabBvfuddekLrjEfctbLnbBvfueqejDaiJtkFzbKjbcfufjectkKubKjdCrbBiDmcbbqbbrdDhafaDvadajaabBcbbaabBmbbaabVgbaaabVgbaaaccHrbbaacgaCbbaacgaCcbaacgahbaabVgoadaaa" ref="F10"/>
    <hyperlink r:id="rId37" location="bDvDmgakkkbcHnDmgbafbCafubbegGchxkFzfHwbCafuccekFzeGchBvjDabCafudhekLrjEfctbLnbCafuegejDaiJtkFzbKjbCafufgectkKubKjdCrcBrBsDmcbbqbcrdDhafebBHhckefEabchdalaacgaCfbaacffdbaacgaCgbaabUgbbaabUibbaabUjbaaacgaCgaaacffdaaacgaCfaaabUhkaaabUhcadaaa" ref="H10"/>
    <hyperlink r:id="rId38" location="bCzDmgakkkbbbGiDmgbbbdfbBufubbegGchxkFzfHwbBufuccekFzeGchBvjDabBufudfekLrjEfctbLnbBufuefejDaiJtkFzbKjbBufufjectkKubKjdCrbBhdDmcbaerdDbcbkcLoDvbcEabcCbCcCeETcdaoaacfDbcLoaacgaCfbaacbCzcCnaabBcbaaabBmbaaabPscaaacbCzcCxaabPriaaabPriaaacfDbcaaacgaCfaaabPriaaabPocaaabBcbadaaa" ref="B11"/>
    <hyperlink r:id="rId39" location="bDvDmgakkkbcHnDmgbafbCafubbegGchxkFzfHwbCafuccekFzeGchBvjDabCafudhekLrjEfctbLnbCafuegejDaiJtkFzbKjbCafufgectkKubKjdCrcBrBsDmcbbqbbrdCzaEabcDbcbkcBedabaabUgbadaaa" ref="D11"/>
    <hyperlink r:id="rId40" location="bEaDmgakkkaHrDmgbbcfbBvfubbegGchxkFzfHwbBvfuccekFzeGchBvjDabBvfuddekLrjEfctbLnbBvfueqejDaiJtkFzbKjbcfufjectkKubKjdCrbBiDmcbbqbdrdCzaDbbbkDvaCbCcdajaacgaCfbaabBcbaaabBmbaaabVgbaaabVgbaaacgaCfaaaccHrbbaaebDwcaacfDbcLoaabVgoaaabVgcadaaa" ref="F11"/>
    <hyperlink r:id="rId41" location="bDbDmgakkkaGjDmgbcbdccfbBvfubbegGchxkFzfHwbBvfuccekFzeGchBvjDabBvfudfekLrjEfctbLnbBvfuefejDaiJtkFzbKjbBvfufjectkKubKjdCrbBiDmcbbqberdCzaDvbcEabcCbCcCeETcdaeaabPxbaaabBmbaaacbDbbeaaebCxeaacbDbcLoaabPzoaaabPyhaaabQafadaaa" ref="H11"/>
    <hyperlink r:id="rId42" location="bDzDmgakkkccdbHqDmgbcbcfbCcfubbegGchxkFzfHwbCcfuccekFzeGchBvjDabCcfuddekLrjEfctbLnbCcfuemejDaiJtkFzbKjbCcfufjectkKubKjdCraDmcbafrdDygbELkckdBqefgDcdbCHEmcdDsbbuByWEyCbCcCgbdasaacgahbaacgaBzbaacfDcebaabVccaaacdCcBteaacfDcecaabmcaaacdCcBtfaabrcaaacgaBzaaacfDcedaabVecaaacgahaaacbDzbbaabVccaaabmcaaabrcaaabBvdadaaa" ref="B12"/>
    <hyperlink r:id="rId43" location="bDyDmggkkkcbBqcHrDmgbbcfbsfubbegGchxkFzfHwbsfuccekFzeGchBvjDabsfuddekLrjEfctbLnbsfuedejDaiJtkFzbKjbsfufjectkKubKjdCraDmcbadrdDzaDcdbCHEmcdDsaCbCcdaeaabBcbaaacgahbaabBmbaaabBvbadaaa" ref="D12"/>
    <hyperlink r:id="rId44" location="bDsDmgakkkebHscdeHlDmgbcbcfbCafubbecsiEtkHmjCobCafucceeCbhBokFcjDpbCafuddedBneEbkFcjCsbCafuepefEujEbiGteCbbCafufjebTokHuiDncqcBrBsDmcbbqbcrdDcdbCHEmcdDzaDycbELkckBfEDZsdanaabUudaaacgahbaabUudaaacfDydBqaacfDyebaacfDygbaacgaCgbaacbDsfBnaacfDcebaabBmbaaabUqcaaabUtbaaabBveadaaa" ref="F12"/>
    <hyperlink r:id="rId45" location="bDcDmggkkkbcFwDmgfafbBwfubbegGchxkFzfHwbBwfuccekFzeGchBvjDabBwfudfekLrjEfctbLnbBwfuefejDaiJtkFzbKjbBwfuffectkKubKjdCraDmcbbqberdDzaDyaDsahCbCcdaeaacbDcbbaabQobaaabQrcaaabBvbadaaa" ref="H12"/>
    <hyperlink r:id="rId46" location="bDhDmgakkkaGqDmgbafbByfubbegGchxkFzfHwbByfuccekFzeGchBvjDabByfuddekLrjEfctbLnbByfuepejDaiJtkFzbKjbCafufjectkKubKjdCraDmcbaerdjafgbBHhckdefgDcdbCHEmcdhCbCgbdaBdaacbDhdbaabRkbaaabRlbaaabRmbaaacbDhbBYaaacdByBobaacfDcebaabmbaaacbDhbCHqaacdByBocaabbbaaacfDcecaacdByBodaabcbaaabdbaaacfDcedaabHdbaaabHdbaaabbbaaabcbaaabdbaaabHdbaaabHdbaaabbbaaabcbaaabdbaaabHdbaaabHdbaaabBvgadaaa" ref="B13"/>
    <hyperlink r:id="rId47" location="bfDmggkkkacDmgbafbsfubbegGchxkFzfHwbsfuccekFzeGchBvjDabsfudhekLrjEfctbLnbsfuepejDaiJtkFzbKjbsfufjectkKubKjdCraDmcbbqbbrdDhajaDcdbCHEmcddaeaabBbbaaacbfcbaacdsmbaabBmbadaaa" ref="D13"/>
    <hyperlink r:id="rId48" location="bDcDmggkkkbcHrDmgbbcfbCafubbegGchxkFzfHwbCafuccekFzeGchBvjDabCafudfekLrjEfctbLnbCafuefejDaiJtkFzbKjbCafuffectkKubKjdCrbBrDmcbbqbcrdDhafgbBHhckdefgjahdaeaacbDcbbaabQobaaabQrcaaabBvbadaaa" ref="F13"/>
    <hyperlink r:id="rId49" location="bjDmggkkkaEvDmgbbbfbBvfubbegGchxkFzfHwbBvfuccekFzeGchBvjDabBvfuddekLrjEfctbLnbBvfuemejDaiJtkFzbKjbBvfufkectkKubKjdCrbBiDmcbbqbcrdDhaffbBHhckdefDccbCFSachdahaabEqbaaabBmbaaabDigaaabDigaaabDgvaaabDjhaaabBvdadaaa" ref="H13"/>
    <hyperlink r:id="rId50" location="bCzDmgakkkbbcGiDmgbbbdfbBufubbegGchxkFzfHwbBufuccekFzeGchBvjDabBufudfekLrjEfctbLnbBufuefejDaiJtkFzbKjbBufufjectkKubKjdCrbBhdDmcbafrdDbcbkcLoDpcbkeDsbbzCbCcCdbCeETcdalaacbCzcCnaabBcbaaacgajdaabBmbaaabPscaaacbCzcCxaabPriaaabPriaaabPriaaabPocaaabBcbadaaa" ref="B14"/>
    <hyperlink r:id="rId51" location="bDpDmgakkkcbdHdDmgbafbcfubbegGchxkFzfHwbcfuccekFzeGchBvjDabcfudeekLrjEfctbLnbcfueoejDaiJtkFzbKjbcfufjectkKubKjdCrbBcdDmcbabrdDsaDbaCzadakaabSwbaaabSsbaaabBmbaaabStbaaaccHdbcaaccHdcbaacfDsbpaabSwbaaabSsbaaabStbadaaa" ref="D14"/>
    <hyperlink r:id="rId52" location="bDsDmgakkkebHscdeHlDmgbcbcfbCafubbecsiEtkHmjCobCafucceeCbhBokFcjDpbCafudgedBneEbkFcjCsbCafuepefEujEbiGteCbbCafufkebTokHuiDncqcBrBsDmcbbqberdCzaDbbbkDpcbkeBfEDZsCdbCeETcdaiaacfDbcHsaabUufcaacfDbcaaabUubaaacbDsfBnaabBmbcaabUlbcaabUtbadaaa" ref="F14"/>
    <hyperlink r:id="rId53" location="bDbDmgakkkaGjDmgbcbdccfbBvfubbegGchxkFzfHwbBvfuccekFzeGchBvjDabBvfudfekLrjEfctbLnbBvfuefejDaiJtkFzbKjbBvfufjectkKubKjdCrbBiDmcbbqbfrdCzaDpchETcbkDsaCbCcCdbCeETcdagaabPxbaaabBmbaaacfDpebaacgajdaacbDbbeaaebByeaacbDbcLoaabPzqaaabPyiaaabQafadaaa" ref="H14"/>
    <hyperlink r:id="rId54" location="bDnDmgakkkaGzDmgbbbgfbCbfubbegGchxkFzfHwbCbfuccekFzeGchBvjDabCbfuddekLrjEfctbLnbCbfuesejDaiJtkFzbKjbCbfufkectkKubKjdCrcBpBqDmcbbqcfrdDlaDsbbvDygbELkckdBqefgwvCbCcdamaabSjeaaabSkbaaabSmbaaacgahbaacgaCgbaabSjmaaabSkcaaabSmfaaabBmbaaabBtBbaaacbDnbcaabSkbadaaa" ref="B15"/>
    <hyperlink r:id="rId55" location="bDyDmggkkkcbBqcHrDmgbbcfbsfubbegGchxkFzfHwbsfuccekFzeGchBvjDabsfuddekLrjEfctbLnbsfuedejDaiJtkFzbKjbsfufjectkKubKjdCraDmcbadrdDnaDlaDsawxdadaabBcbaaacdsmbaabBmbddaaa" ref="D15"/>
    <hyperlink r:id="rId56" location="bDsDmgakkkebHscdeHlDmgbcbcfbCafubbecsiEtkHmjCobCafucceeCbhBokFcjDpbCafuddedBneEbkFcjCsbCafuepefEujEbiGteCbbCafufjebTokHuiDncqcBrBsDmcbbqbdrdDnaDlaDycbELkckwBfEDZsdalaabUudaaabBtgaaabUudaaacfDydBqaacfDyebaacfDygbaacgaCgbaacbDsfBmaabBmbaaabUlbaaabUtbadaaa" ref="F15"/>
    <hyperlink r:id="rId57" location="bDlDmgakkkaGuDmgbbbcfbBpfubbegGchxkFzfHwbBpfuccekFzeGchBvjDabBpfuddekLrjEfctbLnbBpfuesejDaiJtkFzbKjbBpfufjectkKubKjdCrbBaDmcbcqetcrdDnaDsaDyawdavbabShdaaabBcbaaabPobaaabSebaaabSebaaabSebaaabSfcaaabSfcaaacgahbaacgaCbbaacgaCcbaabSgbaaabSfcaaabSfcaaabSgbaaabSfcaaabSfcaaabSgbaaabSfcaaabSfcaaabBtBbadaaa" ref="H15"/>
    <hyperlink r:id="rId58" location="bDzDmgakkkccdbHqDmgbcbcfbCcfubbegGchxkFzfHwbCcfuccekFzeGchBvjDabCcfuddekLrjEfctbLnbCcfuemejDaiJtkFzbKjbCcfufjectkKubKjdCraDmcbagrdDfdbEWycbdDbcbkcLoDygbELkckdBqefgmCbCcCabCgbdaoaacgaicaabVccaaabBuiaaacdCcBteaabmcaaacdCcBtfaabrcaaabVebaaacbDzbbaabVccaaabmcaaabrcaaacgaiaaabVebadaaa" ref="B16"/>
    <hyperlink r:id="rId59" location="bDyDmggkkkcbBqcHrDmgbbcfbCafubbegGchxkFzfHwbCafuccekFzeGchBvjDabCafuddekLrjEfctbLnbCafuedejDaiJtkFzbKjbCafufjectkKubKjdCrcBrBsDmcbacrdDzaDbaDfamdadaabBcbaaabBmbaaabBudadaaa" ref="D16"/>
    <hyperlink r:id="rId60" location="bDfDmgakkkaGnDmgbafbBafubbegGchxkFzfHwbBafuccekFzeGchBvjDabBafudhekLrjEfctbLnbBafuedejDaiJtkFzbKjbBafufdectkKubKjdCrbrcDmcbbqbcrdDzaDyaDbbcBymdafaabBcbaaabQwbaaabBmbaaabQzgaaabBzcadaaa" ref="F16"/>
    <hyperlink r:id="rId61" location="bDbDmgakkkaGjDmgbcbdccfbBcfubbegGchxkFzfHwbBcfuccekFzeGchBvjDabBcfudhekLrjEfctbLnbBcfuefejDaiJtkFzbKjbBcfufjectkKubKjdCraDmcbbqbdrdDzaDyaDfaCbCcdafaabPxbaaabBmbaaabBudaaacbDbbeaaebBycaacgaigaaebDhfaacbDbcLoaabBugaaabPzlaaabPygaaabQaeadaaa" ref="H16"/>
    <hyperlink r:id="rId62" location="gid=776547770" ref="B17"/>
    <hyperlink r:id="rId63" location="gid=1318012595" ref="D17"/>
    <hyperlink r:id="rId64" location="bEeDmgakkkbbIoDmgbcbcfbBofubbegGchxkFzfHwbBofuccekFzeGchBvjDabBofuddekLrjEfctbLnbBofuedejDaiJtkFzbKjbcfufjectkKubKjdCrbBbDmcbadrdBaaBzabayebmhCiuEqyImicdafaabBcbaaabVwkaaabBmbaaabVxkaaabVykadaaa" ref="F17"/>
    <hyperlink r:id="rId65" location="bBzDmgakkkaBbDmgbbbfbBefubbegGchxkFzfHwbBefuccekFzeGchBvjDabBefudhekLrjEfctbLnbBefuerejDaiJtkFzbKjbBefufjectkKubKjdCraDmcbbqbfrdBaabaEeaychuuEqigCdbCeETcdagaabBcbaaabBmbaaabbbaaabJzBfaaabJzcaaabWbkadaaa" ref="H17"/>
    <hyperlink r:id="rId66" location="bBcDmgakkkaFvDmgfafbCcfubbegGchxkFzfHwbCcfuccekFzeGchBvjDabCcfudgekLrjEfctbLnbCcfuepejDaiJtkFzbKjbcfufkectkKubKjdCrbBtfDmcbbqegrdDfdbEPgcbdfgbBHhckdefgDvbchCbCcCabCfbdaoaacbBcdbaabBcbaaacdCcBtcaacbBcdcaabBcbaaacdCcBteaacbBcccaacgaiiaabrbbaacdCcBtfaabpdaaabrbbaacgaiaaabrebdaaa" ref="B18"/>
    <hyperlink r:id="rId67" location="bfDmggkkkacDmgbafbsfubbegGchxkFzfHwbsfuccekFzeGchBvjDabsfudhekLrjEfctbLnbsfuepejDaiJtkFzbKjbsfufjectkKubKjdCraDmcbaerdBcaDfaDvbciiCbCcdaeaabBbbaaacbfcbaacdsmbaabBmbadaaa" ref="D18"/>
    <hyperlink r:id="rId68" location="bDfDmgakkkaGnDmgbafbBafubbegGchxkFzfHwbBafuccekFzeGchBvjDabBafudhekLrjEfctbLnbBafuedejDaiJtkFzbKjbBafufdectkKubKjdCraDmcbabrdBcaffbBHhckefgDvadakaabBcbaaabQwbaaabBmbaaacffdbaacgahbaabbbaaacdBariaacffdaaabQzgaaabCbcadaaa" ref="F18"/>
    <hyperlink r:id="rId69" location="bDvDmgakkkbcHnDmgbafbCafubbegGchxkFzfHwbCafuccekFzeGchBvjDabCafudhekLrjEfctbLnbCafuegejDaiJtkFzbKjbCafufgectkKubKjdCraDmcbabrdBcaffbBHhckefgDfadanaacdCaBrbaacdCaBsbaacgaCfbaacffdbaacgahbaabUgbbaabUibbaabUjbaaacffdaaacgaCfaaabUhiaaacgahaaabUheadaaa" ref="H18"/>
    <hyperlink r:id="rId70" location="bBkDmgakkkbbDxDmgbafbBufubbegGchxkFzfHwbBufuccekFzeGchBvjDabBufuddekLrjEfctbLnbBufuedejDaiJtkFzbKjbcfufkectkKubKjdCrbBhdDmcbcqbrgrdEabcDvaDbcbkcLomCbCcCfbCgbdasaacbBkdbaabbbaaaccDxbdaabFxoaaabFybaaabBcbaaacbBkcbaabbcaaabccaaabdcaaabecaaablcaaacfDbcaaabbbaaabcbaaabdbaaabebaaablbadaaa" ref="B19"/>
    <hyperlink r:id="rId71" location="bDvDmgakkkbcHnDmgbafbCafubbegGchxkFzfHwbCafuccekFzeGchBvjDabCafudhekLrjEfctbLnbCafuegejDaiJtkFzbKjbCafufgectkKubKjdCrcBrBsDmcbbqbbrdBkaEaaDbcbkcBedabaabUgbadaaa" ref="D19"/>
    <hyperlink r:id="rId72" location="bEaDmgakkkaHrDmgbbcfbBvfubbegGchxkFzfHwbBvfuccekFzeGchBvjDabBvfuddekLrjEfctbLnbBvfueqejDaiJtkFzbKjbcfufjectkKubKjdCrbBiDmcbbqberdBkaDbbbkDvamCbCcdaiaacgaCfbaabBcbaaabBmbaaabVgbaaacgaCfaaaccHrbbaaebDwcaacfDbcLoaabVgpaaabVgdadaaa" ref="F19"/>
    <hyperlink r:id="rId73" location="bDbDmgakkkahDmgfafbBcfubbegGchxkFzfHwbBcfuccekFzeGchBvjDabBcfudfekLrjEfctbLnbBcfuefejDaiJtkFzbKjbBcfufjectkKubKjdCraDmcbbqbbrdBkaEabcDvadahaabPxbaaabBmbaaacbDbbeaacgaCbbaacgaCcbaacfDvcbaaebCoeaacbDbcLoaabPzmaaabPygaaabQaeadaaa" ref="H19"/>
    <hyperlink r:id="rId74" location="bCwDmggkkkbcFnDmgbbbcfbCcfubbegGchxkFzfHwbCcfuccekFzeGchBvjDabCcfudgekLrjEfctbLnbCcfuepejDaiJtkFzbKjbCcfufkectkKubKjdCraDmcbagrdfgbBHhckdefgDfdbEOrcbdDvbchCbCcCabCfbdaqaacgaiiaacebqbaabPabaaacdCcBtcaabrbbaacdCcBtdaabrbbaabPcbaaacdCcBtfaabrbbaabrbbaacgaiaaabrcbbacebqababbeababPjbadaaa" ref="B20"/>
    <hyperlink r:id="rId75" location="bfDmggkkkacDmgbafbsfubbegGchxkFzfHwbsfuccekFzeGchBvjDabsfudhekLrjEfctbLnbsfuepejDaiJtkFzbKjbsfufjectkKubKjdCraDmcbaerdCwaDfaDvbciiCbCcdaeaabBbbaaacbfcbaacdsmbaabBmbadaaa" ref="D20"/>
    <hyperlink r:id="rId76" location="bDfDmgakkkaGnDmgbafbBafubbegGchxkFzfHwbBafuccekFzeGchBvjDabBafudhekLrjEfctbLnbBafuedejDaiJtkFzbKjbBafufdectkKubKjdCraDmcbabrdCwaffbBHhckefgDvadakaabBcbaaabQwbaaabBmbaaacffdbaacgahbaabbbaaacdBariaacffdaaabQzgaaabCbcadaaa" ref="F20"/>
    <hyperlink r:id="rId77" location="bDvDmgakkkbcHnDmgbafbCafubbegGchxkFzfHwbCafuccekFzeGchBvjDabCafudhekLrjEfctbLnbCafuegejDaiJtkFzbKjbCafufgectkKubKjdCraDmcbabrdCwaffbBHhckefgDfadanaacdCaBrbaacdCaBsbaacgaCfbaacffdbaacgahbaabUgbbaabUibbaabUjbaaacffdaaacgaCfaaabUhiaaacgahaaabUheadaaa" ref="H20"/>
    <hyperlink r:id="rId78" location="bCyDmgakkkbbGhDmgbbbdfbBufubbegGchxkFzfHwbBufuccekFzeGchBvjDabBufuddekLrjEfctbLnbBufueqejDaiJtkFzbKjbBufufkectkKubKjdCrbBhdDmcbbqbgrdEabcDbcbkcLoDvamCbCcCfbCgbdauaabbbabaccGhbbbacdBuBhbaacbCycbaabcbabaccGhbcbacdBuBhcaacbCyccaabdbabaccGhbdbacdBuBhdaacbCycdaabmbaaacbCycfaabbeaaabceaaabdeaaabmcaaabPqcababBmfadaaa" ref="B21"/>
    <hyperlink r:id="rId79" location="bDvDmgakkkbcHnDmgbafbCafubbegGchxkFzfHwbCafuccekFzeGchBvjDabCafudhekLrjEfctbLnbCafuegejDaiJtkFzbKjbCafufgectkKubKjdCrcBrBsDmcbbqbbrdCyaEaaDbcbkcBedabaabUgbadaaa" ref="D21"/>
    <hyperlink r:id="rId80" location="bEaDmgakkkaHrDmgbbcfbBvfubbegGchxkFzfHwbBvfuccekFzeGchBvjDabBvfuddekLrjEfctbLnbBvfueqejDaiJtkFzbKjbcfufjectkKubKjdCrbBiDmcbbqberdCyaDbbbkDvamCbCcdahaacgaCfbaabBcbaaabBmbaaabVgbaaacgaCfaaaccHrbbaaebDwcaacfDbcLoaabVgkadaaa" ref="F21"/>
    <hyperlink r:id="rId81" location="bDbDmgakkkahDmgfafbBcfubbegGchxkFzfHwbBcfuccekFzeGchBvjDabBcfudfekLrjEfctbLnbBcfuefejDaiJtkFzbKjbBcfufjectkKubKjdCraDmcbbqbbrdCyaEabcDvadahaabPxbaaabBmbaaacbDbbeaacgaCbbaacgaCcbaacfDvcbaaebCoeaacbDbcLoaabPzkaaabPyfaaabQadadaaa" ref="H21"/>
    <hyperlink r:id="rId82" ref="K21"/>
    <hyperlink r:id="rId83" location="blDmgakkkbbFvDmgfafbCcfubbegGchxkFzfHwbCcfuccekFzeGchBvjDabCcfudgekLrjEfctbLnbCcfuepejDaiJtkFzbKjbCcfufjectkKubKjdCraDmcbahrdfgbBHhckdefgDfdbEYzcbdDvbchCbCcCabBfCRNsCfbdakaacgaiiaabrbbaacdCcBtbaabrbbaacdCcBtcaabrbbaacgaiaaacdCcBtdaabqdbaabpdadaaa" ref="B22"/>
    <hyperlink r:id="rId84" location="bfDmggkkkacDmgbafbsfubbegGchxkFzfHwbsfuccekFzeGchBvjDabsfudhekLrjEfctbLnbsfuepejDaiJtkFzbKjbsfufjectkKubKjdCraDmcbadrdlaDfaDvbcCbCcdaeaabBbbaaacbfcbaacdsmbaabBmbadaaa" ref="D22"/>
    <hyperlink r:id="rId85" location="bDfDmgakkkaGnDmgbafbBafubbegGchxkFzfHwbBafuccekFzeGchBvjDabBafudhekLrjEfctbLnbBafuedejDaiJtkFzbKjbBafufdectkKubKjdCraDmcbabrdlaffbBHhckefgDvadakaabBcbaaabQwbaaabBmbaaacffdbaacgahbaabbbaaacdBariaacffdaaabQzgaaabCbcadaaa" ref="F22"/>
    <hyperlink r:id="rId86" location="bDvDmgakkkbcHnDmgbafbCafubbegGchxkFzfHwbCafuccekFzeGchBvjDabCafudhekLrjEfctbLnbCafuegejDaiJtkFzbKjbCafufgectkKubKjdCraDmcbabrdlaffbBHhckefgDfadanaacdCaBrbaacdCaBsbaacgaCfbaacffdbaacgahbaabUgbbaabUibbaabUjbaaacffdaaacgaCfaaabUhiaaacgahaaabUheadaaa" ref="H22"/>
    <hyperlink r:id="rId87" location="bDdDmgakkkdbgcldFnDmgbafbBxfubbegGchxkFzfHwbBxfuccekFzeGchBvjDabBxfuddekLrjEfctbLnbBxfueoejDaiJtkFzbKjbcfufjectkKubKjdCraDmcbbqcgrdDpcbkeDbcbkcJqBzbbhgCbCcCdbCeETcdapaabBmbaaabQtgaaacdBxBlbaacdBxBmbaaccFnbcaacgafbaabQsbaaabQsbaaabOnbaaabbcaaabccaaabdcaaabbcaaabccaaabQtgadaaa" ref="B23"/>
    <hyperlink r:id="rId88" location="bDpDmgakkkcbdHdDmgbcbccfbCafubbegGchxkFzfHwbCafuccekFzeGchBvjDabCafudeekLrjEfctbLnbCafueoejDaiJtkFzbKjbCafufjectkKubKjdCrcBrBsDmcbadrdDdaDbbbkBzafgdajaabSwbaaabSsbaaabStbaaabBmbaaacfBzbcaacfDbcHsaabSwbaaabSsbaaabStbadaaa" ref="D23"/>
    <hyperlink r:id="rId89" location="bBzDmgakkkaEsDmgbbbfbBefubbegGchxkFzfHwbBefuccekFzeGchBvjDabBefudhekLrjEfctbLnbBefuerejDaiJtkFzbKjbBefufjectkKubKjdCraDmcbbqbfrdDbcbkcHsDdaDpcbkeCbCcCdbCeETcdaiaabBcbaaabBmbaaacbBzbcaabbbaaabJzdaaacbBzbaaabJzdaaabJzBbadaaa" ref="F23"/>
    <hyperlink r:id="rId90" location="bDbDmgakkkaGjDmgbcbdccfbBvfubbegGchxkFzfHwbBvfuccekFzeGchBvjDabBvfudhekLrjEfctbLnbBvfuefejDaiJtkFzbKjbBvfufjectkKubKjdCrbBiDmcbbqbfrdBzaDpcbkeDdaCbCcCdbCeETcdaeaabPxbaaabBmbaaacbDbbeaaebCoeaacbDbcHsaabPzoaaabPyhaaabQafadaaa" ref="H23"/>
    <hyperlink r:id="rId91" location="bDiDmgakkkebBMmcddecGrDmgbbbdfbBmfubbegGchxkFzfHwbBmfuccekFzeGchBvjDabBmfuddekLrjEfctbLnbBmfuemejDaiJtkFzbKjbcfufjectkKubKjdCrcwzDmcbagrdDraDsaDcdbCFSacdByWEyCbCcCeETcCgbdabaaebByfaacfDrbdaacgapbaacfDsbBmaaebDrfaacfDcedaabBmfaaabRudaaadbdaacgaBzbaabRudaaabRrdaaadecaabRrdaaabRudaaabBvbadaaa" ref="B24"/>
    <hyperlink r:id="rId92" location="bDrDmggkkkbbBbDmgbafbsfubbegGchxkFzfHwbsfuccekFzeGchBvjDabsfuddekLrjEfctbLnbsfuemejDaiJtkFzbKjbsfufjectkKubKjdCraDmcbbqcdrdDiaDccbCFSacDsaCbCcdalaabUabaaacbDrdbaacbDrccaacgahbaabTsbaaabTvbaaacgapbaabTtjaaabTteaaabTuhaaabBvbadaaa" ref="D24"/>
    <hyperlink r:id="rId93" location="bDcDmggkkkbcHrDmgbbcfbBwfubbegGchxkFzfHwbBwfuccekFzeGchBvjDabBwfudfekLrjEfctbLnbBwfuefejDaiJtkFzbKjbBwfuffectkKubKjdCrbBjWEyDmcbbqbfrdDsaDiaDrahCbCcpbdaeaacbDcbbaabQobaaabQrcaaabBvbadaaa" ref="F24"/>
    <hyperlink r:id="rId94" location="bDsDmgakkkebHscdeHlDmgbcbcfbCafubbecsiEtkHmjCobCafucceeCbhBokFcjDpbCafuddedBneEbkFcjCsbCafuepefEujEbiGteCbbCafufjebTokHuiDncqcBrBsDmcbbqbdrdDcdbCHEmcdDiaDrbbbpbBfEDZsdajaacgahbaabUudaaabUudaaacgaCgbaacbDsfBnaacfDcebaabBmbaaabUtbaaabBvgadaaa" ref="H24"/>
    <hyperlink r:id="rId95" ref="K24"/>
    <hyperlink r:id="rId96" location="bDiDmgakkkdbBMmcddGrDmgbbbdfbByfubbegGchxkFzfHwbByfuccekFzeGchBvjDabByfuddekLrjEfctbLnbByfuedejDaiJtkFzbKjbcfufjectkKubKjdCrbBodDmcbagrdEecbDYpcDpcbkeBzbbhCbCcCdbCeETcChbdafaabRudaaacbDiecaadfcaabRrdaaabRudaaabBmfaaabVyeadaaa" ref="B25"/>
    <hyperlink r:id="rId97" location="bDpDmgakkkcbdHdDmgbcbccfbCafubbegGchxkFzfHwbCafuccekFzeGchBvjDabCafudeekLrjEfctbLnbCafueoejDaiJtkFzbKjbCafufjectkKubKjdCraDmcbadrdDiaEeaBzaCbCcdaiaacfBzbcaabSwbaaabSsbaaabStbaaacfBzbaaabSwbaaabSsbaaabStbadaaa" ref="D25"/>
    <hyperlink r:id="rId98" location="bBzDmgakkkaEsDmgbbbfbBefubbegGchxkFzfHwbBefuccekFzeGchBvjDabBefudhekLrjEfctbLnbBefuerejDaiJtkFzbKjbBefufjectkKubKjdCraDmcbbqbcrdDiaEeaDpbbkChbdataacfEebDYpaacfEecbaabBcbaaabBmbaaacbBzbbaabbbaaacbBzbaaabJzdaaacgaCbbaacgaCcbaabJzdaaabVycaaacfEecaaacfDphETcaacfDpebaacgaCdbaacgaCeEMfaabJzBbaaabVycadaaa" ref="F25"/>
    <hyperlink r:id="rId99" location="bEeDmgakkkaIoDmgbcbcfbBofubbegGchxkFzfHwbBofuccekFzeGchBvjDabBofuddekLrjEfctbLnbBofuedejDaiJtkFzbKjbcfufjectkKubKjdCrbBbDmcbabrdDiaBzaDpchEMfbkdamaabBcbaaabBmbaaacbEebbaabVwcaaacfDpebaacgaCcbaacgaCbbaacgaCeETcaacgaCdbaabVwiaaabVxkaaabVyiadaaa" ref="H25"/>
    <hyperlink r:id="rId100" location="bEbDmggkkkebcHsdeFjDmgbafbBafubbegGchxkFzfHwbBafuccekFzeGchBvjDabBafuddekLrjEfctbLnbBafuenejDaiJtkFzbKjbBafufjectkKubKjdCrbrgDmcbbqcfrdDraBzbbhEecbDYpcCbCcpbChbdaraacfDrbbaabBmbaaabVobaaabVjbaaacfDrbcaaccFjceaabVjbaaabVpbaaacfDrbdaaccFjchaabVjbaaaccFjckaabVjlaaabVphaaabBzeaaabCaeaaabWcgadaaa" ref="B26"/>
    <hyperlink r:id="rId101" location="bDrDmggkkkbbBbDmgbafbCafubbegGchxkFzfHwbCafuccekFzeGchBvjDabCafuddekLrjEfctbLnbCafuemejDaiJtkFzbKjbcfufjectkKubKjdCrcBrBsDmcbbqccrdEbaEebbCYyBzaChbdaoaacfBzbcaabUabaaacbDrdbaacbDrccaabTsbaaabTvbaaacfBzbaaacfEbbHsaacgaicaacgapbaabTtjaaabTteaaabTuiaaabWchadaaa" ref="D26"/>
    <hyperlink r:id="rId102" location="bEeDmgakkkaIoDmgbcbcfbBofubbegGchxkFzfHwbBofuccekFzeGchBvjDabBofuddekLrjEfctbLnbBofuedejDaiJtkFzbKjbcfufjectkKubKjdCrbBbDmcbabrdDraBzaEbadaqaabBcbaaabBmbaaacbEebbaabVwcaaacgaCcbaacgaCbbaabVwcaaabVxcaaabVycaaacgaicaacgapbaabVwgaaabVxiaaabVydaaacfEbbHsaabVyfadaaa" ref="F26"/>
    <hyperlink r:id="rId103" location="bBzDmgakkkaEsDmgbbbfbBefubbegGchxkFzfHwbBefuccekFzeGchBvjDabBefudhekLrjEfctbLnbBefuerejDaiJtkFzbKjbBefufjectkKubKjdCraDmcbbqbcrdEbaEebbCYyDraChbdasaacfEebDYpaacfEecbaabBcbaaabBmbaaacbBzbbaabbbaaacbBzbaaabJzdaaacfEbbHsaacgapbaacgaCbbaacgaCcbaacgaigaabJzdaaabWbfaaacfEecaaabJzBbaaabWcgadaaa" ref="H26"/>
    <hyperlink r:id="rId104" location="bCvDmgakkkcbdcGbDmgbafbBufubbegGchxkFzfHwbBufuccekFzeGchBvjDabBufuddekLrjEfctbLnbBufuepejDaiJtkFzbKjbcfufkectkKubKjdCraDmcbbqecrdDcdbCFSacdjaffbBHhckefgCgbdaraacfDcebaacffdbaabOubaaabOvbaaacgahbaacdBuBhdaacfDcecaabOucaaacfDcedaabOvcaaabOwbaaabBcbaaabBmbaaabOzbaaabOubaaabOvbaaabBvbadaaa" ref="B27"/>
    <hyperlink r:id="rId105" location="bfDmggkkkacDmgbafbsfubbegGchxkFzfHwbsfuccekFzeGchBvjDabsfudhekLrjEfctbLnbsfuepejDaiJtkFzbKjbsfufjectkKubKjdCraDmcbbqbbrdCvajaDcdbCHEmcddafaabBbbaaacbfcbaacdsmbaabBmbaaabBvbadaaa" ref="D27"/>
    <hyperlink r:id="rId106" location="bDcDmggkkkbcHrDmgbbcfbCafubbegGchxkFzfHwbCafuccekFzeGchBvjDabCafudfekLrjEfctbLnbCafuefejDaiJtkFzbKjbCafuffectkKubKjdCrbBrDmcbbqbbrdCvafajadaeaacbDcbbaabQobaaabQrcaaabBvbadaaa" ref="F27"/>
    <hyperlink r:id="rId107" location="bBxDmgakkkaEpDmgbbbdfbBvfubbegGchxkFzfHwbBvfuccekFzeGchBvjDabBvfuddekLrjEfctbLnbBvfuemejDaiJtkFzbKjbcfufjectkKubKjdCrbBiDmcbbqbbrdCvaDcdbCFSacdfebBHhckefdaiaabIueaaacgahbaabIueaaabIueaaabBvcabacffdbaabIudababIugadaaa" ref="H27"/>
    <hyperlink r:id="rId108" location="bCoDmgakkkbbFlDmgbbbfbBufubbegGchxkFzfHwbBufuccekFzeGchBvjDabBufudgekLrjEfctbLnbBufuesejDaiJtkFzbKjbcfufjectkKubKjdCrbBhdDmcbagrdDbcbkcDwCaaCjcbBMmcwxmvBvbdalaabMzbdaabrbdaabbeaaabcedaabdeaaabNebdaabNebaaabNdbdaabNdbaaabMydaaabMydddaaa" ref="B28"/>
    <hyperlink r:id="rId109" location="bCaDmggkkkaFeDmgfbbfbBofubbegGchxkFzfHwbBofuccekFzeGchBvjDabBofudgekLrjEfctbLnbBofuegejDaiJtkFzbKjbcfufgectkKubKjdCrbBbDmcbbqbirdCoaCjbbBMmDbcbkcDwwxmvBgbBfCRNsBvbdaqaacfCjcbaabBcbdaabLpcabaccFfbbaabKbbabaccFfbcaabKbbabaccFfbdaabKcddaabKcfaaacfCjcaaabKbedaabKbeaaabKdddaabLpkaaabBubadaaa" ref="D28"/>
    <hyperlink r:id="rId110" location="bCjDmgakkkbcFiDmgbafbBpfubbegGchxkFzfHwbBpfuccekFzeGchBvjDabBpfudgekLrjEfctbLnbBpfuegejDaiJtkFzbKjbcfufjectkKubKjdCrbBaDmcbairdCoaDbcbkcDwCaawxmBgbBfCRNsBefBdBWcdadaabBbbaaabMmhdaabMmcadaaa" ref="F28"/>
    <hyperlink r:id="rId111" location="bDbDmgakkkbbeFfDmgbbbdfbBcfubbegGchxkFzfHwbBcfuccekFzeGchBvjDabBcfudhekLrjEfctbLnbBcfuefejDaiJtkFzbKjbBcfufjectkKubKjdCrbpDmcbbqbgrdCoaCaaCjawxBefBdBWcBvbdahaabPxbaaacgaBgbaabBmbaaacgaBgdaacbDbbeaaebBjeaacbDbcLoaabPzmaaabPygaaabQaeaaabBubadaaa" ref="H28"/>
    <hyperlink r:id="rId112" location="bCvDmgakkkcbecGbDmgbafbBufubbegGchxkFzfHwbBufuccekFzeGchBvjDabBufuddekLrjEfctbLnbBufuepejDaiJtkFzbKjbcfufkectkKubKjdCraDmcbacrdDpbbkDvaffbBHhckefgCeETcdawaabOubaaabOvbaaacfDpebaacdBuBhdaacffdbaacgahbaacgaCbbaacgaCcbaacfDvcbaacgaCfbaacgaCdbaacgajeaabOzbbaabOubbaabBmbbaabOubaaacebqeaabBcbaaabOvcaaabOubaaabOvbaaabOwbadaaa" ref="B29"/>
    <hyperlink r:id="rId113" location="bfDmggkkkacDmgbafbsfubbegGchxkFzfHwbsfuccekFzeGchBvjDabsfudhekLrjEfctbLnbsfuepejDaiJtkFzbKjbsfufjectkKubKjdCraDmcbbqbdrdCvaDpbbkDvaCbCcdaeaabBbbaaacbfcbaacdsmbaabBmbadaaa" ref="D29"/>
    <hyperlink r:id="rId114" location="bDpDmgakkkcbdHdDmgbafbcfubbegGchxkFzfHwbcfuccekFzeGchBvjDabcfudeekLrjEfctbLnbcfueoejDaiJtkFzbKjbcfufjectkKubKjdCrbBcdDmcbabrdCvafaDvadafaabSwbaaabSsbaaabStbaaaccHdbcaaccHdcbdaaa" ref="F29"/>
    <hyperlink r:id="rId115" location="bDvDmgakkkbcHnDmgbafbCafubbegGchxkFzfHwbCafuccekFzeGchBvjDabCafudhekLrjEfctbLnbCafuegejDaiJtkFzbKjbCafufgectkKubKjdCrcBrBsDmcbbqbcrdCvafebBHhckefDpcbkehdajaacgaCfbaacffdbaabUgbbaabUibbaabUjbaaacffdaaacgaCfaaabUhkaaabUhcbdaaa" ref="H29"/>
    <hyperlink r:id="rId116" location="bCcDmgakkkaEvDmgbafbBpfubbegGchxkFzfHwbBpfuccekFzeGchBvjDabBpfudgekLrjEfctbLnbBpfuesejDaiJtkFzbKjbcfufkectkKubKjdCrbBaDmcbbqbcrdwbbBIkjaBxaBvbdawaacfwbBIkaacfwdbbacgatfaabBcbdaacdBpBabaaccEvbbaacbCcbbaabLgeaaabLgcdaabLheaaabLhcdaabLecdaabLfgaaabLfcdaabLebdaabLfdaaabLfbdaacfwdbaabBcbaaabLeddaabLfjaaabLfdddaaa" ref="B30"/>
    <hyperlink r:id="rId117" location="bwDmggkkkaFiDmgbafbBafubbegGchxkFzfHwbBafuccekFzeGchBvjDabBafudgekLrjEfctbLnbBafuegejDaiJtkFzbKjbBafufgectkKubKjdCrbrcDmcbabrdCcajaBxadakaacdBarcaacbwbcbaccEabbaabBcbaaabBoeaaabBjbaaabBjddaabBzeaaabBcbaaabBzbddaaa" ref="D30"/>
    <hyperlink r:id="rId118" location="bBxDmgakkkaEpDmgbbbdfbBvfubbegGchxkFzfHwbBvfuccekFzeGchBvjDabBvfuddekLrjEfctbLnbBvfuemejDaiJtkFzbKjbBvfufjectkKubKjdCrbBiDmcbbqbcrdCcawajaBvbdaraacfwbBIkaabIudaaacgaicaacfwcbaacfwdbaacfwecaabIudaaabIucdaabIueaaacfweaaabIudaaabBmbdaabIwcdaabIwbaaabIucdaacfwdaaabIueadaaa" ref="F30"/>
    <hyperlink r:id="rId119" location="bjDmggkkkaEvDmgbafbBvfubbegGchxkFzfHwbBvfuccekFzeGchBvjDabBvfuddekLrjEfctbLnbBvfuemejDaiJtkFzbKjbBvfufkectkKubKjdCrbBiDmcbbqbdrdBxawdbBIkcdCcaicBvbdalaacfwecaabBcbaaabDigaaacfweaaabDifaaabEqbdaabBmbaaabDigaaabDigdaabDgnaaabDjBaddaaa" ref="H30"/>
    <hyperlink r:id="rId120" location="bBuDmgakkkbddEnDmgbafbBkfubbegGchxkFzfHwbBkfuccekFzeGchBvjDabBkfudeekLrjEfctbLnbBkfueoejDaiJtkFzbKjbcfufjectkKubKjdCrcteveDmcbaerdDgaBtcbkfBfbbfgmdaqaabBcbaaacbBubbaacfBtcbaacfBtgbaacfBtdbaacfBtebaacgahbaabbbaaabcbaaabIieaaabIjbaaabBcbaaabbbaaabcbaaabIieaaabIjbadaaa" ref="B31"/>
    <hyperlink r:id="rId121" location="bBtDmggkkkaBcDmgfafbsfubbegGchxkFzfHwbsfuccekFzeGchBvjDabsfudeekLrjEfctbLnbsfueoejDaiJtkFzbKjbsfufjectkKubKjdCraDmcbbqberdBuaDgaBfbbybqXcgmdafaabBcbaaacbBtcbaacgahbaabBmbaaabIlgadaaa" ref="D31"/>
    <hyperlink r:id="rId122" location="bDgDmgakkkbcGoDmgbbbfbBkfubbegGchxkFzfHwbBkfuccekFzeGchBvjDabBkfudeekLrjEfctbLnbBkfueoejDaiJtkFzbKjbBkfufjectkKubKjdCrcteveDmcbbqedrdBuaBtcbkfBfbbgmdalaabRhcaaacfBtebaacfBtdbaacgahbaabRhdaaabRicabaccEmbbaabRhfaaacgafbaabRibababBmbadaaa" ref="F31"/>
    <hyperlink r:id="rId123" location="bBfDmgakkkcbcdDmDmgfafbBcfubbegGchxkFzfHwbBcfuccekFzeGchBvjDabBcfudfekLrjEfctbLnbBcfueoejDaiJtkFzbKjbBcfufjectkKubKjdCrbpDmcbbqbcrdBuaBtaDgagdaeaabBabaaabEgbaaabEfmababBmbadaaa" ref="H31"/>
    <hyperlink r:id="rId124" ref="K31"/>
  </hyperlinks>
  <drawing r:id="rId125"/>
  <legacyDrawing r:id="rId126"/>
  <tableParts count="1">
    <tablePart r:id="rId128"/>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5F06"/>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0"/>
    <col customWidth="1" min="9" max="10" width="13.13"/>
  </cols>
  <sheetData>
    <row r="1" ht="19.5" customHeight="1">
      <c r="A1" s="110" t="s">
        <v>68</v>
      </c>
      <c r="B1" s="111" t="s">
        <v>398</v>
      </c>
      <c r="C1" s="111" t="s">
        <v>553</v>
      </c>
      <c r="D1" s="111" t="s">
        <v>554</v>
      </c>
      <c r="E1" s="111" t="s">
        <v>555</v>
      </c>
      <c r="F1" s="111" t="s">
        <v>556</v>
      </c>
      <c r="G1" s="111" t="s">
        <v>557</v>
      </c>
      <c r="H1" s="111" t="s">
        <v>411</v>
      </c>
      <c r="I1" s="112" t="s">
        <v>69</v>
      </c>
      <c r="J1" s="113" t="s">
        <v>558</v>
      </c>
      <c r="K1" s="114"/>
    </row>
    <row r="2" ht="82.5" customHeight="1">
      <c r="A2" s="115"/>
      <c r="B2" s="116">
        <v>10.17</v>
      </c>
      <c r="C2" s="116">
        <v>10.97</v>
      </c>
      <c r="D2" s="116">
        <v>13.59</v>
      </c>
      <c r="E2" s="116">
        <v>14.4</v>
      </c>
      <c r="F2" s="116">
        <v>15.77</v>
      </c>
      <c r="G2" s="116">
        <v>16.42</v>
      </c>
      <c r="H2" s="116">
        <v>19.4</v>
      </c>
      <c r="I2" s="117" t="s">
        <v>559</v>
      </c>
      <c r="J2" s="118" t="s">
        <v>90</v>
      </c>
      <c r="K2" s="119"/>
      <c r="L2" s="119"/>
      <c r="U2" s="119"/>
    </row>
    <row r="3" ht="82.5" customHeight="1">
      <c r="A3" s="120"/>
      <c r="B3" s="116">
        <v>9.45</v>
      </c>
      <c r="C3" s="116">
        <v>10.41</v>
      </c>
      <c r="D3" s="116">
        <v>11.27</v>
      </c>
      <c r="E3" s="116">
        <v>11.32</v>
      </c>
      <c r="F3" s="116">
        <v>12.14</v>
      </c>
      <c r="G3" s="116">
        <v>12.17</v>
      </c>
      <c r="H3" s="116">
        <v>14.42</v>
      </c>
      <c r="I3" s="117" t="s">
        <v>560</v>
      </c>
      <c r="J3" s="118" t="s">
        <v>90</v>
      </c>
      <c r="L3" s="121" t="s">
        <v>561</v>
      </c>
      <c r="M3" s="122"/>
      <c r="N3" s="122"/>
      <c r="O3" s="122"/>
      <c r="P3" s="122"/>
      <c r="Q3" s="122"/>
      <c r="R3" s="122"/>
      <c r="S3" s="122"/>
      <c r="T3" s="123"/>
    </row>
    <row r="4" ht="82.5" customHeight="1">
      <c r="A4" s="120"/>
      <c r="B4" s="116">
        <v>9.22</v>
      </c>
      <c r="C4" s="116">
        <v>10.38</v>
      </c>
      <c r="D4" s="116">
        <v>11.69</v>
      </c>
      <c r="E4" s="116">
        <v>12.97</v>
      </c>
      <c r="F4" s="116">
        <v>13.45</v>
      </c>
      <c r="G4" s="116">
        <v>14.19</v>
      </c>
      <c r="H4" s="116">
        <v>15.83</v>
      </c>
      <c r="I4" s="117" t="s">
        <v>562</v>
      </c>
      <c r="J4" s="118" t="s">
        <v>90</v>
      </c>
      <c r="L4" s="124"/>
      <c r="M4" s="125" t="s">
        <v>389</v>
      </c>
      <c r="N4" s="126" t="s">
        <v>82</v>
      </c>
      <c r="O4" s="126" t="s">
        <v>563</v>
      </c>
      <c r="P4" s="126" t="s">
        <v>564</v>
      </c>
      <c r="Q4" s="126" t="s">
        <v>565</v>
      </c>
      <c r="R4" s="126" t="s">
        <v>87</v>
      </c>
      <c r="S4" s="126" t="s">
        <v>558</v>
      </c>
      <c r="T4" s="127" t="s">
        <v>566</v>
      </c>
    </row>
    <row r="5" ht="82.5" customHeight="1">
      <c r="A5" s="120"/>
      <c r="B5" s="116">
        <v>8.55</v>
      </c>
      <c r="C5" s="116">
        <v>9.41</v>
      </c>
      <c r="D5" s="116">
        <v>10.74</v>
      </c>
      <c r="E5" s="116">
        <v>11.4</v>
      </c>
      <c r="F5" s="116">
        <v>12.64</v>
      </c>
      <c r="G5" s="116">
        <v>13.16</v>
      </c>
      <c r="H5" s="116">
        <v>16.06</v>
      </c>
      <c r="I5" s="117" t="s">
        <v>567</v>
      </c>
      <c r="J5" s="118" t="s">
        <v>90</v>
      </c>
      <c r="L5" s="128" t="s">
        <v>398</v>
      </c>
      <c r="M5" s="129"/>
      <c r="N5" s="130"/>
      <c r="O5" s="130"/>
      <c r="P5" s="130"/>
      <c r="Q5" s="130"/>
      <c r="R5" s="130"/>
      <c r="S5" s="130">
        <v>0.95</v>
      </c>
      <c r="T5" s="131">
        <f>(M5+N5+O5+P5+Q5+R5)*S5</f>
        <v>0</v>
      </c>
    </row>
    <row r="6" ht="82.5" customHeight="1">
      <c r="A6" s="120"/>
      <c r="B6" s="116">
        <v>8.46</v>
      </c>
      <c r="C6" s="116">
        <v>10.33</v>
      </c>
      <c r="D6" s="116">
        <v>11.04</v>
      </c>
      <c r="E6" s="116">
        <v>11.5</v>
      </c>
      <c r="F6" s="116">
        <v>12.39</v>
      </c>
      <c r="G6" s="116">
        <v>12.53</v>
      </c>
      <c r="H6" s="116">
        <v>14.17</v>
      </c>
      <c r="I6" s="117" t="s">
        <v>567</v>
      </c>
      <c r="J6" s="118" t="s">
        <v>90</v>
      </c>
      <c r="L6" s="132" t="s">
        <v>568</v>
      </c>
      <c r="M6" s="133"/>
      <c r="N6" s="134"/>
      <c r="O6" s="135"/>
      <c r="P6" s="135"/>
      <c r="Q6" s="136"/>
      <c r="R6" s="136"/>
      <c r="S6" s="137" t="s">
        <v>14</v>
      </c>
      <c r="T6" s="138">
        <f>((M5*(1+M6))+(N5+N6)+(O5*(1+O6))+(P5*(1+P6))+(Q5+Q6)+(R5+R6))*S5</f>
        <v>0</v>
      </c>
    </row>
    <row r="7" ht="82.5" customHeight="1">
      <c r="A7" s="120"/>
      <c r="B7" s="116">
        <v>8.31</v>
      </c>
      <c r="C7" s="116">
        <v>9.79</v>
      </c>
      <c r="D7" s="116">
        <v>10.19</v>
      </c>
      <c r="E7" s="116">
        <v>10.69</v>
      </c>
      <c r="F7" s="116">
        <v>10.69</v>
      </c>
      <c r="G7" s="116">
        <v>11.08</v>
      </c>
      <c r="H7" s="116">
        <v>13.25</v>
      </c>
      <c r="I7" s="117" t="s">
        <v>562</v>
      </c>
      <c r="J7" s="118" t="s">
        <v>90</v>
      </c>
      <c r="L7" s="119"/>
    </row>
    <row r="8" ht="82.5" customHeight="1">
      <c r="A8" s="120"/>
      <c r="B8" s="116">
        <v>8.27</v>
      </c>
      <c r="C8" s="116">
        <v>9.22</v>
      </c>
      <c r="D8" s="116">
        <v>11.4</v>
      </c>
      <c r="E8" s="116">
        <v>11.69</v>
      </c>
      <c r="F8" s="116">
        <v>11.88</v>
      </c>
      <c r="G8" s="116">
        <v>12.02</v>
      </c>
      <c r="H8" s="116">
        <v>13.68</v>
      </c>
      <c r="I8" s="117" t="s">
        <v>569</v>
      </c>
      <c r="J8" s="118" t="s">
        <v>90</v>
      </c>
    </row>
    <row r="9" ht="82.5" customHeight="1">
      <c r="A9" s="120"/>
      <c r="B9" s="116">
        <v>7.84</v>
      </c>
      <c r="C9" s="116">
        <v>8.35</v>
      </c>
      <c r="D9" s="116">
        <v>10.27</v>
      </c>
      <c r="E9" s="116">
        <v>10.43</v>
      </c>
      <c r="F9" s="116">
        <v>10.5</v>
      </c>
      <c r="G9" s="116">
        <v>10.53</v>
      </c>
      <c r="H9" s="116">
        <v>11.31</v>
      </c>
      <c r="I9" s="117" t="s">
        <v>97</v>
      </c>
      <c r="J9" s="118" t="s">
        <v>90</v>
      </c>
    </row>
    <row r="10" ht="82.5" customHeight="1">
      <c r="A10" s="120"/>
      <c r="B10" s="116">
        <v>7.84</v>
      </c>
      <c r="C10" s="116">
        <v>7.96</v>
      </c>
      <c r="D10" s="116">
        <v>9.38</v>
      </c>
      <c r="E10" s="116">
        <v>9.5</v>
      </c>
      <c r="F10" s="116">
        <v>9.64</v>
      </c>
      <c r="G10" s="116">
        <v>9.67</v>
      </c>
      <c r="H10" s="116">
        <v>10.52</v>
      </c>
      <c r="I10" s="117" t="s">
        <v>569</v>
      </c>
      <c r="J10" s="118" t="s">
        <v>90</v>
      </c>
    </row>
    <row r="11" ht="82.5" customHeight="1">
      <c r="A11" s="120"/>
      <c r="B11" s="116">
        <v>7.84</v>
      </c>
      <c r="C11" s="116">
        <v>8.71</v>
      </c>
      <c r="D11" s="116">
        <v>9.32</v>
      </c>
      <c r="E11" s="116">
        <v>9.97</v>
      </c>
      <c r="F11" s="116">
        <v>10.35</v>
      </c>
      <c r="G11" s="116">
        <v>10.42</v>
      </c>
      <c r="H11" s="116">
        <v>13.2</v>
      </c>
      <c r="I11" s="117" t="s">
        <v>559</v>
      </c>
      <c r="J11" s="118" t="s">
        <v>90</v>
      </c>
    </row>
    <row r="12" ht="82.5" customHeight="1">
      <c r="A12" s="120"/>
      <c r="B12" s="116">
        <v>7.79</v>
      </c>
      <c r="C12" s="116">
        <v>8.58</v>
      </c>
      <c r="D12" s="116">
        <v>9.14</v>
      </c>
      <c r="E12" s="116">
        <v>9.87</v>
      </c>
      <c r="F12" s="116">
        <v>10.22</v>
      </c>
      <c r="G12" s="116">
        <v>10.37</v>
      </c>
      <c r="H12" s="116">
        <v>14.73</v>
      </c>
      <c r="I12" s="117" t="s">
        <v>97</v>
      </c>
      <c r="J12" s="118" t="s">
        <v>90</v>
      </c>
    </row>
    <row r="13" ht="82.5" customHeight="1">
      <c r="A13" s="120"/>
      <c r="B13" s="116">
        <v>7.7</v>
      </c>
      <c r="C13" s="116">
        <v>7.7</v>
      </c>
      <c r="D13" s="116">
        <v>7.85</v>
      </c>
      <c r="E13" s="116">
        <v>7.97</v>
      </c>
      <c r="F13" s="116">
        <v>8.16</v>
      </c>
      <c r="G13" s="116">
        <v>8.18</v>
      </c>
      <c r="H13" s="116">
        <v>8.85</v>
      </c>
      <c r="I13" s="117" t="s">
        <v>560</v>
      </c>
      <c r="J13" s="118" t="s">
        <v>100</v>
      </c>
    </row>
    <row r="14" ht="82.5" customHeight="1">
      <c r="A14" s="120"/>
      <c r="B14" s="116">
        <v>7.65</v>
      </c>
      <c r="C14" s="116">
        <v>8.55</v>
      </c>
      <c r="D14" s="116">
        <v>9.64</v>
      </c>
      <c r="E14" s="116">
        <v>10.4</v>
      </c>
      <c r="F14" s="116">
        <v>11.12</v>
      </c>
      <c r="G14" s="116">
        <v>11.4</v>
      </c>
      <c r="H14" s="116">
        <v>14.11</v>
      </c>
      <c r="I14" s="117" t="s">
        <v>562</v>
      </c>
      <c r="J14" s="118" t="s">
        <v>90</v>
      </c>
    </row>
    <row r="15" ht="82.5" customHeight="1">
      <c r="A15" s="120"/>
      <c r="B15" s="116">
        <v>7.65</v>
      </c>
      <c r="C15" s="116">
        <v>7.9</v>
      </c>
      <c r="D15" s="116">
        <v>7.91</v>
      </c>
      <c r="E15" s="116">
        <v>8.02</v>
      </c>
      <c r="F15" s="116">
        <v>8.46</v>
      </c>
      <c r="G15" s="116">
        <v>8.51</v>
      </c>
      <c r="H15" s="116">
        <v>8.86</v>
      </c>
      <c r="I15" s="117" t="s">
        <v>562</v>
      </c>
      <c r="J15" s="118" t="s">
        <v>90</v>
      </c>
    </row>
    <row r="16" ht="82.5" customHeight="1">
      <c r="A16" s="120"/>
      <c r="B16" s="116">
        <v>7.55</v>
      </c>
      <c r="C16" s="116">
        <v>7.79</v>
      </c>
      <c r="D16" s="116">
        <v>9.77</v>
      </c>
      <c r="E16" s="116">
        <v>10.27</v>
      </c>
      <c r="F16" s="116">
        <v>11.28</v>
      </c>
      <c r="G16" s="116">
        <v>11.61</v>
      </c>
      <c r="H16" s="116">
        <v>13.47</v>
      </c>
      <c r="I16" s="117" t="s">
        <v>159</v>
      </c>
      <c r="J16" s="118" t="s">
        <v>90</v>
      </c>
    </row>
    <row r="17" ht="82.5" customHeight="1">
      <c r="A17" s="120"/>
      <c r="B17" s="116">
        <v>7.46</v>
      </c>
      <c r="C17" s="116">
        <v>7.59</v>
      </c>
      <c r="D17" s="116">
        <v>8.23</v>
      </c>
      <c r="E17" s="116">
        <v>8.6</v>
      </c>
      <c r="F17" s="116">
        <v>9.08</v>
      </c>
      <c r="G17" s="116">
        <v>9.15</v>
      </c>
      <c r="H17" s="116">
        <v>9.62</v>
      </c>
      <c r="I17" s="117" t="s">
        <v>560</v>
      </c>
      <c r="J17" s="118" t="s">
        <v>90</v>
      </c>
    </row>
    <row r="18" ht="82.5" customHeight="1">
      <c r="A18" s="120"/>
      <c r="B18" s="116">
        <v>7.45</v>
      </c>
      <c r="C18" s="116">
        <v>8.28</v>
      </c>
      <c r="D18" s="116">
        <v>8.31</v>
      </c>
      <c r="E18" s="116">
        <v>8.32</v>
      </c>
      <c r="F18" s="116">
        <v>8.51</v>
      </c>
      <c r="G18" s="116">
        <v>8.53</v>
      </c>
      <c r="H18" s="116">
        <v>9.04</v>
      </c>
      <c r="I18" s="117" t="s">
        <v>97</v>
      </c>
      <c r="J18" s="118" t="s">
        <v>100</v>
      </c>
    </row>
    <row r="19" ht="82.5" customHeight="1">
      <c r="A19" s="120"/>
      <c r="B19" s="116">
        <v>7.32</v>
      </c>
      <c r="C19" s="116">
        <v>8.27</v>
      </c>
      <c r="D19" s="116">
        <v>10.23</v>
      </c>
      <c r="E19" s="116">
        <v>10.48</v>
      </c>
      <c r="F19" s="116">
        <v>11.14</v>
      </c>
      <c r="G19" s="116">
        <v>11.19</v>
      </c>
      <c r="H19" s="116">
        <v>12.4</v>
      </c>
      <c r="I19" s="117" t="s">
        <v>567</v>
      </c>
      <c r="J19" s="118" t="s">
        <v>90</v>
      </c>
    </row>
    <row r="20" ht="82.5" customHeight="1">
      <c r="A20" s="120"/>
      <c r="B20" s="116">
        <v>7.32</v>
      </c>
      <c r="C20" s="116">
        <v>7.32</v>
      </c>
      <c r="D20" s="116">
        <v>7.63</v>
      </c>
      <c r="E20" s="116">
        <v>7.91</v>
      </c>
      <c r="F20" s="116">
        <v>8.39</v>
      </c>
      <c r="G20" s="116">
        <v>8.45</v>
      </c>
      <c r="H20" s="116">
        <v>8.68</v>
      </c>
      <c r="I20" s="117" t="s">
        <v>559</v>
      </c>
      <c r="J20" s="118" t="s">
        <v>90</v>
      </c>
    </row>
    <row r="21" ht="82.5" customHeight="1">
      <c r="A21" s="120"/>
      <c r="B21" s="116">
        <v>7.13</v>
      </c>
      <c r="C21" s="116">
        <v>7.46</v>
      </c>
      <c r="D21" s="116">
        <v>9.77</v>
      </c>
      <c r="E21" s="116">
        <v>9.8</v>
      </c>
      <c r="F21" s="116">
        <v>10.29</v>
      </c>
      <c r="G21" s="116">
        <v>10.35</v>
      </c>
      <c r="H21" s="116">
        <v>10.85</v>
      </c>
      <c r="I21" s="117" t="s">
        <v>562</v>
      </c>
      <c r="J21" s="118" t="s">
        <v>90</v>
      </c>
    </row>
    <row r="22" ht="82.5" customHeight="1">
      <c r="A22" s="120"/>
      <c r="B22" s="116">
        <v>6.84</v>
      </c>
      <c r="C22" s="116">
        <v>7.24</v>
      </c>
      <c r="D22" s="116">
        <v>7.86</v>
      </c>
      <c r="E22" s="116">
        <v>8.14</v>
      </c>
      <c r="F22" s="116">
        <v>8.97</v>
      </c>
      <c r="G22" s="116">
        <v>9.28</v>
      </c>
      <c r="H22" s="116">
        <v>12.49</v>
      </c>
      <c r="I22" s="117" t="s">
        <v>560</v>
      </c>
      <c r="J22" s="118" t="s">
        <v>90</v>
      </c>
    </row>
    <row r="23" ht="82.5" customHeight="1">
      <c r="A23" s="120"/>
      <c r="B23" s="116">
        <v>6.84</v>
      </c>
      <c r="C23" s="116">
        <v>7.35</v>
      </c>
      <c r="D23" s="116">
        <v>7.81</v>
      </c>
      <c r="E23" s="116">
        <v>8.41</v>
      </c>
      <c r="F23" s="116">
        <v>9.62</v>
      </c>
      <c r="G23" s="116">
        <v>9.77</v>
      </c>
      <c r="H23" s="116">
        <v>12.22</v>
      </c>
      <c r="I23" s="117" t="s">
        <v>567</v>
      </c>
      <c r="J23" s="118" t="s">
        <v>90</v>
      </c>
    </row>
    <row r="24" ht="82.5" customHeight="1">
      <c r="A24" s="120"/>
      <c r="B24" s="116">
        <v>6.84</v>
      </c>
      <c r="C24" s="116">
        <v>7.28</v>
      </c>
      <c r="D24" s="116">
        <v>7.62</v>
      </c>
      <c r="E24" s="116">
        <v>7.99</v>
      </c>
      <c r="F24" s="116">
        <v>8.57</v>
      </c>
      <c r="G24" s="116">
        <v>8.63</v>
      </c>
      <c r="H24" s="116">
        <v>9.54</v>
      </c>
      <c r="I24" s="117" t="s">
        <v>159</v>
      </c>
      <c r="J24" s="118" t="s">
        <v>90</v>
      </c>
    </row>
    <row r="25" ht="82.5" customHeight="1">
      <c r="A25" s="120"/>
      <c r="B25" s="116">
        <v>6.79</v>
      </c>
      <c r="C25" s="116">
        <v>7.8</v>
      </c>
      <c r="D25" s="116">
        <v>9.06</v>
      </c>
      <c r="E25" s="116">
        <v>9.32</v>
      </c>
      <c r="F25" s="116">
        <v>10.13</v>
      </c>
      <c r="G25" s="116">
        <v>10.25</v>
      </c>
      <c r="H25" s="116">
        <v>11.84</v>
      </c>
      <c r="I25" s="117" t="s">
        <v>569</v>
      </c>
      <c r="J25" s="118" t="s">
        <v>90</v>
      </c>
    </row>
    <row r="26" ht="82.5" customHeight="1">
      <c r="A26" s="120"/>
      <c r="B26" s="116">
        <v>6.65</v>
      </c>
      <c r="C26" s="116">
        <v>7.16</v>
      </c>
      <c r="D26" s="116">
        <v>8.19</v>
      </c>
      <c r="E26" s="116">
        <v>8.21</v>
      </c>
      <c r="F26" s="116">
        <v>8.29</v>
      </c>
      <c r="G26" s="116">
        <v>8.32</v>
      </c>
      <c r="H26" s="116">
        <v>8.72</v>
      </c>
      <c r="I26" s="117" t="s">
        <v>97</v>
      </c>
      <c r="J26" s="118" t="s">
        <v>90</v>
      </c>
    </row>
    <row r="27" ht="82.5" customHeight="1">
      <c r="A27" s="120"/>
      <c r="B27" s="116">
        <v>6.6</v>
      </c>
      <c r="C27" s="116">
        <v>7.7</v>
      </c>
      <c r="D27" s="116">
        <v>8.68</v>
      </c>
      <c r="E27" s="116">
        <v>8.97</v>
      </c>
      <c r="F27" s="116">
        <v>9.67</v>
      </c>
      <c r="G27" s="116">
        <v>9.77</v>
      </c>
      <c r="H27" s="116">
        <v>10.4</v>
      </c>
      <c r="I27" s="117" t="s">
        <v>562</v>
      </c>
      <c r="J27" s="118" t="s">
        <v>90</v>
      </c>
    </row>
    <row r="28" ht="82.5" customHeight="1">
      <c r="A28" s="120"/>
      <c r="B28" s="116">
        <v>6.6</v>
      </c>
      <c r="C28" s="116">
        <v>6.62</v>
      </c>
      <c r="D28" s="116">
        <v>7.44</v>
      </c>
      <c r="E28" s="116">
        <v>7.61</v>
      </c>
      <c r="F28" s="116">
        <v>7.68</v>
      </c>
      <c r="G28" s="116">
        <v>7.74</v>
      </c>
      <c r="H28" s="116">
        <v>8.51</v>
      </c>
      <c r="I28" s="117" t="s">
        <v>562</v>
      </c>
      <c r="J28" s="118" t="s">
        <v>100</v>
      </c>
    </row>
    <row r="29" ht="82.5" customHeight="1">
      <c r="A29" s="120"/>
      <c r="B29" s="116">
        <v>6.56</v>
      </c>
      <c r="C29" s="116">
        <v>7.13</v>
      </c>
      <c r="D29" s="116">
        <v>8.77</v>
      </c>
      <c r="E29" s="116">
        <v>9.4</v>
      </c>
      <c r="F29" s="116">
        <v>10.1</v>
      </c>
      <c r="G29" s="116">
        <v>10.24</v>
      </c>
      <c r="H29" s="116">
        <v>12.29</v>
      </c>
      <c r="I29" s="117" t="s">
        <v>569</v>
      </c>
      <c r="J29" s="118" t="s">
        <v>90</v>
      </c>
    </row>
    <row r="30" ht="82.5" customHeight="1">
      <c r="A30" s="120"/>
      <c r="B30" s="116">
        <v>6.56</v>
      </c>
      <c r="C30" s="116">
        <v>7.81</v>
      </c>
      <c r="D30" s="116">
        <v>10.19</v>
      </c>
      <c r="E30" s="116">
        <v>10.99</v>
      </c>
      <c r="F30" s="116">
        <v>11.9</v>
      </c>
      <c r="G30" s="116">
        <v>12.06</v>
      </c>
      <c r="H30" s="116">
        <v>15.95</v>
      </c>
      <c r="I30" s="117" t="s">
        <v>560</v>
      </c>
      <c r="J30" s="118" t="s">
        <v>90</v>
      </c>
    </row>
    <row r="31" ht="82.5" customHeight="1">
      <c r="A31" s="120"/>
      <c r="B31" s="116">
        <v>6.55</v>
      </c>
      <c r="C31" s="116">
        <v>7.15</v>
      </c>
      <c r="D31" s="116">
        <v>7.22</v>
      </c>
      <c r="E31" s="116">
        <v>7.34</v>
      </c>
      <c r="F31" s="116">
        <v>7.62</v>
      </c>
      <c r="G31" s="116">
        <v>7.68</v>
      </c>
      <c r="H31" s="116">
        <v>9.71</v>
      </c>
      <c r="I31" s="117" t="s">
        <v>559</v>
      </c>
      <c r="J31" s="118" t="s">
        <v>100</v>
      </c>
    </row>
    <row r="32" ht="82.5" customHeight="1">
      <c r="A32" s="120"/>
      <c r="B32" s="116">
        <v>6.41</v>
      </c>
      <c r="C32" s="116">
        <v>7.34</v>
      </c>
      <c r="D32" s="116">
        <v>8.57</v>
      </c>
      <c r="E32" s="116">
        <v>9.34</v>
      </c>
      <c r="F32" s="116">
        <v>10.91</v>
      </c>
      <c r="G32" s="116">
        <v>11.14</v>
      </c>
      <c r="H32" s="116">
        <v>13.64</v>
      </c>
      <c r="I32" s="117" t="s">
        <v>569</v>
      </c>
      <c r="J32" s="118" t="s">
        <v>90</v>
      </c>
    </row>
    <row r="33" ht="82.5" customHeight="1">
      <c r="A33" s="120"/>
      <c r="B33" s="116">
        <v>6.4</v>
      </c>
      <c r="C33" s="116">
        <v>7.03</v>
      </c>
      <c r="D33" s="116">
        <v>7.03</v>
      </c>
      <c r="E33" s="116">
        <v>7.2</v>
      </c>
      <c r="F33" s="116">
        <v>7.39</v>
      </c>
      <c r="G33" s="116">
        <v>7.42</v>
      </c>
      <c r="H33" s="116">
        <v>8.03</v>
      </c>
      <c r="I33" s="117" t="s">
        <v>559</v>
      </c>
      <c r="J33" s="118" t="s">
        <v>100</v>
      </c>
    </row>
    <row r="34" ht="82.5" customHeight="1">
      <c r="A34" s="120"/>
      <c r="B34" s="116">
        <v>6.37</v>
      </c>
      <c r="C34" s="116">
        <v>6.54</v>
      </c>
      <c r="D34" s="116">
        <v>7.02</v>
      </c>
      <c r="E34" s="116">
        <v>7.19</v>
      </c>
      <c r="F34" s="116">
        <v>7.76</v>
      </c>
      <c r="G34" s="116">
        <v>7.82</v>
      </c>
      <c r="H34" s="116">
        <v>8.46</v>
      </c>
      <c r="I34" s="117" t="s">
        <v>560</v>
      </c>
      <c r="J34" s="118" t="s">
        <v>90</v>
      </c>
    </row>
    <row r="35" ht="82.5" customHeight="1">
      <c r="A35" s="120"/>
      <c r="B35" s="116">
        <v>6.37</v>
      </c>
      <c r="C35" s="116">
        <v>7.36</v>
      </c>
      <c r="D35" s="116">
        <v>7.79</v>
      </c>
      <c r="E35" s="116">
        <v>7.85</v>
      </c>
      <c r="F35" s="116">
        <v>8.33</v>
      </c>
      <c r="G35" s="116">
        <v>8.44</v>
      </c>
      <c r="H35" s="116">
        <v>9.22</v>
      </c>
      <c r="I35" s="117" t="s">
        <v>569</v>
      </c>
      <c r="J35" s="118" t="s">
        <v>90</v>
      </c>
    </row>
    <row r="36" ht="82.5" customHeight="1">
      <c r="A36" s="120"/>
      <c r="B36" s="116">
        <v>6.37</v>
      </c>
      <c r="C36" s="116">
        <v>6.6</v>
      </c>
      <c r="D36" s="116">
        <v>6.94</v>
      </c>
      <c r="E36" s="116">
        <v>7.28</v>
      </c>
      <c r="F36" s="116">
        <v>8.32</v>
      </c>
      <c r="G36" s="116">
        <v>8.45</v>
      </c>
      <c r="H36" s="116">
        <v>9.44</v>
      </c>
      <c r="I36" s="117" t="s">
        <v>559</v>
      </c>
      <c r="J36" s="118" t="s">
        <v>90</v>
      </c>
    </row>
    <row r="37" ht="82.5" customHeight="1">
      <c r="A37" s="120"/>
      <c r="B37" s="116">
        <v>6.37</v>
      </c>
      <c r="C37" s="116">
        <v>6.56</v>
      </c>
      <c r="D37" s="116">
        <v>6.88</v>
      </c>
      <c r="E37" s="116">
        <v>6.98</v>
      </c>
      <c r="F37" s="116">
        <v>7.01</v>
      </c>
      <c r="G37" s="116">
        <v>7.18</v>
      </c>
      <c r="H37" s="116">
        <v>7.63</v>
      </c>
      <c r="I37" s="117" t="s">
        <v>559</v>
      </c>
      <c r="J37" s="118" t="s">
        <v>90</v>
      </c>
    </row>
    <row r="38" ht="82.5" customHeight="1">
      <c r="A38" s="120"/>
      <c r="B38" s="116">
        <v>6.37</v>
      </c>
      <c r="C38" s="116">
        <v>6.41</v>
      </c>
      <c r="D38" s="116">
        <v>6.45</v>
      </c>
      <c r="E38" s="116">
        <v>6.62</v>
      </c>
      <c r="F38" s="116">
        <v>6.62</v>
      </c>
      <c r="G38" s="116">
        <v>6.66</v>
      </c>
      <c r="H38" s="116">
        <v>6.85</v>
      </c>
      <c r="I38" s="117" t="s">
        <v>159</v>
      </c>
      <c r="J38" s="118" t="s">
        <v>90</v>
      </c>
    </row>
    <row r="39" ht="82.5" customHeight="1">
      <c r="A39" s="120"/>
      <c r="B39" s="116">
        <v>6.32</v>
      </c>
      <c r="C39" s="116">
        <v>6.85</v>
      </c>
      <c r="D39" s="116">
        <v>7.95</v>
      </c>
      <c r="E39" s="116">
        <v>8.22</v>
      </c>
      <c r="F39" s="116">
        <v>8.92</v>
      </c>
      <c r="G39" s="116">
        <v>9.13</v>
      </c>
      <c r="H39" s="116">
        <v>12.17</v>
      </c>
      <c r="I39" s="117" t="s">
        <v>560</v>
      </c>
      <c r="J39" s="118" t="s">
        <v>90</v>
      </c>
    </row>
    <row r="40" ht="82.5" customHeight="1">
      <c r="A40" s="120"/>
      <c r="B40" s="116">
        <v>6.27</v>
      </c>
      <c r="C40" s="116">
        <v>6.38</v>
      </c>
      <c r="D40" s="116">
        <v>6.59</v>
      </c>
      <c r="E40" s="116">
        <v>6.88</v>
      </c>
      <c r="F40" s="116">
        <v>7.48</v>
      </c>
      <c r="G40" s="116">
        <v>7.59</v>
      </c>
      <c r="H40" s="116">
        <v>8.07</v>
      </c>
      <c r="I40" s="117" t="s">
        <v>562</v>
      </c>
      <c r="J40" s="118" t="s">
        <v>90</v>
      </c>
    </row>
    <row r="41" ht="82.5" customHeight="1">
      <c r="A41" s="120"/>
      <c r="B41" s="116">
        <v>6.25</v>
      </c>
      <c r="C41" s="116">
        <v>6.75</v>
      </c>
      <c r="D41" s="116">
        <v>7.05</v>
      </c>
      <c r="E41" s="116">
        <v>7.08</v>
      </c>
      <c r="F41" s="116">
        <v>7.08</v>
      </c>
      <c r="G41" s="116">
        <v>7.77</v>
      </c>
      <c r="H41" s="116">
        <v>8.77</v>
      </c>
      <c r="I41" s="117" t="s">
        <v>559</v>
      </c>
      <c r="J41" s="118" t="s">
        <v>100</v>
      </c>
    </row>
    <row r="42" ht="82.5" customHeight="1">
      <c r="A42" s="120"/>
      <c r="B42" s="116">
        <v>6.2</v>
      </c>
      <c r="C42" s="116">
        <v>6.44</v>
      </c>
      <c r="D42" s="116">
        <v>6.99</v>
      </c>
      <c r="E42" s="116">
        <v>7.1</v>
      </c>
      <c r="F42" s="116">
        <v>7.13</v>
      </c>
      <c r="G42" s="116">
        <v>7.17</v>
      </c>
      <c r="H42" s="116">
        <v>7.48</v>
      </c>
      <c r="I42" s="117" t="s">
        <v>97</v>
      </c>
      <c r="J42" s="118" t="s">
        <v>100</v>
      </c>
    </row>
    <row r="43" ht="82.5" customHeight="1">
      <c r="A43" s="120"/>
      <c r="B43" s="116">
        <v>6.18</v>
      </c>
      <c r="C43" s="116">
        <v>6.41</v>
      </c>
      <c r="D43" s="116">
        <v>7.14</v>
      </c>
      <c r="E43" s="116">
        <v>7.67</v>
      </c>
      <c r="F43" s="116">
        <v>8.53</v>
      </c>
      <c r="G43" s="116">
        <v>8.61</v>
      </c>
      <c r="H43" s="116">
        <v>9.78</v>
      </c>
      <c r="I43" s="117" t="s">
        <v>159</v>
      </c>
      <c r="J43" s="118" t="s">
        <v>90</v>
      </c>
    </row>
    <row r="44" ht="82.5" customHeight="1">
      <c r="A44" s="120"/>
      <c r="B44" s="116">
        <v>6.13</v>
      </c>
      <c r="C44" s="116">
        <v>6.37</v>
      </c>
      <c r="D44" s="116">
        <v>6.86</v>
      </c>
      <c r="E44" s="116">
        <v>7.03</v>
      </c>
      <c r="F44" s="116">
        <v>7.39</v>
      </c>
      <c r="G44" s="116">
        <v>7.48</v>
      </c>
      <c r="H44" s="116">
        <v>8.38</v>
      </c>
      <c r="I44" s="117" t="s">
        <v>97</v>
      </c>
      <c r="J44" s="118" t="s">
        <v>90</v>
      </c>
    </row>
    <row r="45" ht="82.5" customHeight="1">
      <c r="A45" s="120"/>
      <c r="B45" s="116">
        <v>6.13</v>
      </c>
      <c r="C45" s="116">
        <v>6.37</v>
      </c>
      <c r="D45" s="116">
        <v>6.79</v>
      </c>
      <c r="E45" s="116">
        <v>6.89</v>
      </c>
      <c r="F45" s="116">
        <v>7.62</v>
      </c>
      <c r="G45" s="116">
        <v>7.91</v>
      </c>
      <c r="H45" s="116">
        <v>9.12</v>
      </c>
      <c r="I45" s="117" t="s">
        <v>159</v>
      </c>
      <c r="J45" s="118" t="s">
        <v>90</v>
      </c>
    </row>
    <row r="46" ht="82.5" customHeight="1">
      <c r="A46" s="120"/>
      <c r="B46" s="116">
        <v>6.08</v>
      </c>
      <c r="C46" s="116">
        <v>6.68</v>
      </c>
      <c r="D46" s="116">
        <v>7.09</v>
      </c>
      <c r="E46" s="116">
        <v>7.23</v>
      </c>
      <c r="F46" s="116">
        <v>7.82</v>
      </c>
      <c r="G46" s="116">
        <v>7.92</v>
      </c>
      <c r="H46" s="116">
        <v>8.99</v>
      </c>
      <c r="I46" s="117" t="s">
        <v>567</v>
      </c>
      <c r="J46" s="118" t="s">
        <v>90</v>
      </c>
    </row>
    <row r="47" ht="82.5" customHeight="1">
      <c r="A47" s="120"/>
      <c r="B47" s="116">
        <v>6.08</v>
      </c>
      <c r="C47" s="116">
        <v>6.23</v>
      </c>
      <c r="D47" s="116">
        <v>6.69</v>
      </c>
      <c r="E47" s="116">
        <v>6.97</v>
      </c>
      <c r="F47" s="116">
        <v>7.89</v>
      </c>
      <c r="G47" s="116">
        <v>7.94</v>
      </c>
      <c r="H47" s="116">
        <v>8.13</v>
      </c>
      <c r="I47" s="117" t="s">
        <v>567</v>
      </c>
      <c r="J47" s="118" t="s">
        <v>90</v>
      </c>
    </row>
    <row r="48" ht="82.5" customHeight="1">
      <c r="A48" s="120"/>
      <c r="B48" s="116">
        <v>6.0</v>
      </c>
      <c r="C48" s="116">
        <v>6.26</v>
      </c>
      <c r="D48" s="116">
        <v>6.56</v>
      </c>
      <c r="E48" s="116">
        <v>6.62</v>
      </c>
      <c r="F48" s="116">
        <v>6.64</v>
      </c>
      <c r="G48" s="116">
        <v>6.75</v>
      </c>
      <c r="H48" s="116">
        <v>7.06</v>
      </c>
      <c r="I48" s="117" t="s">
        <v>569</v>
      </c>
      <c r="J48" s="118" t="s">
        <v>100</v>
      </c>
    </row>
    <row r="49" ht="82.5" customHeight="1">
      <c r="A49" s="120"/>
      <c r="B49" s="116">
        <v>6.0</v>
      </c>
      <c r="C49" s="116">
        <v>6.06</v>
      </c>
      <c r="D49" s="116">
        <v>6.11</v>
      </c>
      <c r="E49" s="116">
        <v>6.14</v>
      </c>
      <c r="F49" s="116">
        <v>6.4</v>
      </c>
      <c r="G49" s="116">
        <v>6.41</v>
      </c>
      <c r="H49" s="116">
        <v>7.02</v>
      </c>
      <c r="I49" s="117" t="s">
        <v>560</v>
      </c>
      <c r="J49" s="118" t="s">
        <v>100</v>
      </c>
    </row>
    <row r="50" ht="82.5" customHeight="1">
      <c r="A50" s="120"/>
      <c r="B50" s="116">
        <v>6.0</v>
      </c>
      <c r="C50" s="116">
        <v>6.1</v>
      </c>
      <c r="D50" s="116">
        <v>6.29</v>
      </c>
      <c r="E50" s="116">
        <v>6.7</v>
      </c>
      <c r="F50" s="116">
        <v>7.02</v>
      </c>
      <c r="G50" s="116">
        <v>7.06</v>
      </c>
      <c r="H50" s="116">
        <v>7.89</v>
      </c>
      <c r="I50" s="117" t="s">
        <v>559</v>
      </c>
      <c r="J50" s="118" t="s">
        <v>100</v>
      </c>
    </row>
    <row r="51" ht="82.5" customHeight="1">
      <c r="A51" s="120"/>
      <c r="B51" s="116">
        <v>5.99</v>
      </c>
      <c r="C51" s="116">
        <v>6.01</v>
      </c>
      <c r="D51" s="116">
        <v>6.25</v>
      </c>
      <c r="E51" s="116">
        <v>6.41</v>
      </c>
      <c r="F51" s="116">
        <v>6.49</v>
      </c>
      <c r="G51" s="116">
        <v>6.51</v>
      </c>
      <c r="H51" s="116">
        <v>6.72</v>
      </c>
      <c r="I51" s="117" t="s">
        <v>97</v>
      </c>
      <c r="J51" s="118" t="s">
        <v>90</v>
      </c>
    </row>
    <row r="52" ht="82.5" customHeight="1">
      <c r="A52" s="120"/>
      <c r="B52" s="116">
        <v>5.95</v>
      </c>
      <c r="C52" s="116">
        <v>6.03</v>
      </c>
      <c r="D52" s="116">
        <v>6.53</v>
      </c>
      <c r="E52" s="116">
        <v>6.66</v>
      </c>
      <c r="F52" s="116">
        <v>7.2</v>
      </c>
      <c r="G52" s="116">
        <v>7.24</v>
      </c>
      <c r="H52" s="116">
        <v>8.44</v>
      </c>
      <c r="I52" s="117" t="s">
        <v>97</v>
      </c>
      <c r="J52" s="118" t="s">
        <v>100</v>
      </c>
    </row>
    <row r="53" ht="82.5" customHeight="1">
      <c r="A53" s="139"/>
      <c r="B53" s="116">
        <v>5.95</v>
      </c>
      <c r="C53" s="116">
        <v>5.97</v>
      </c>
      <c r="D53" s="116">
        <v>6.31</v>
      </c>
      <c r="E53" s="116">
        <v>6.4</v>
      </c>
      <c r="F53" s="116">
        <v>6.88</v>
      </c>
      <c r="G53" s="116">
        <v>7.06</v>
      </c>
      <c r="H53" s="116">
        <v>7.35</v>
      </c>
      <c r="I53" s="117" t="s">
        <v>560</v>
      </c>
      <c r="J53" s="118" t="s">
        <v>100</v>
      </c>
    </row>
    <row r="54" ht="82.5" customHeight="1">
      <c r="A54" s="120"/>
      <c r="B54" s="116">
        <v>5.89</v>
      </c>
      <c r="C54" s="116">
        <v>5.92</v>
      </c>
      <c r="D54" s="116">
        <v>6.23</v>
      </c>
      <c r="E54" s="116">
        <v>6.33</v>
      </c>
      <c r="F54" s="116">
        <v>6.57</v>
      </c>
      <c r="G54" s="116">
        <v>6.67</v>
      </c>
      <c r="H54" s="116">
        <v>6.91</v>
      </c>
      <c r="I54" s="117" t="s">
        <v>560</v>
      </c>
      <c r="J54" s="118" t="s">
        <v>90</v>
      </c>
    </row>
    <row r="55" ht="82.5" customHeight="1">
      <c r="A55" s="120"/>
      <c r="B55" s="116">
        <v>5.75</v>
      </c>
      <c r="C55" s="116">
        <v>5.8</v>
      </c>
      <c r="D55" s="116">
        <v>5.8</v>
      </c>
      <c r="E55" s="116">
        <v>5.84</v>
      </c>
      <c r="F55" s="116">
        <v>6.24</v>
      </c>
      <c r="G55" s="116">
        <v>6.26</v>
      </c>
      <c r="H55" s="116">
        <v>6.31</v>
      </c>
      <c r="I55" s="117" t="s">
        <v>97</v>
      </c>
      <c r="J55" s="118" t="s">
        <v>100</v>
      </c>
    </row>
    <row r="56" ht="82.5" customHeight="1">
      <c r="A56" s="140"/>
      <c r="B56" s="116">
        <v>5.7</v>
      </c>
      <c r="C56" s="116">
        <v>5.95</v>
      </c>
      <c r="D56" s="116">
        <v>6.26</v>
      </c>
      <c r="E56" s="116">
        <v>6.38</v>
      </c>
      <c r="F56" s="116">
        <v>6.44</v>
      </c>
      <c r="G56" s="116">
        <v>6.55</v>
      </c>
      <c r="H56" s="116">
        <v>7.35</v>
      </c>
      <c r="I56" s="117" t="s">
        <v>559</v>
      </c>
      <c r="J56" s="118" t="s">
        <v>100</v>
      </c>
    </row>
    <row r="57" ht="82.5" customHeight="1">
      <c r="A57" s="120"/>
      <c r="B57" s="116">
        <v>5.65</v>
      </c>
      <c r="C57" s="116">
        <v>5.78</v>
      </c>
      <c r="D57" s="116">
        <v>6.4</v>
      </c>
      <c r="E57" s="116">
        <v>6.51</v>
      </c>
      <c r="F57" s="116">
        <v>6.67</v>
      </c>
      <c r="G57" s="116">
        <v>6.79</v>
      </c>
      <c r="H57" s="116">
        <v>7.04</v>
      </c>
      <c r="I57" s="117" t="s">
        <v>559</v>
      </c>
      <c r="J57" s="118" t="s">
        <v>100</v>
      </c>
    </row>
    <row r="58" ht="82.5" customHeight="1">
      <c r="A58" s="120"/>
      <c r="B58" s="116">
        <v>5.61</v>
      </c>
      <c r="C58" s="116">
        <v>5.69</v>
      </c>
      <c r="D58" s="116">
        <v>5.84</v>
      </c>
      <c r="E58" s="116">
        <v>5.95</v>
      </c>
      <c r="F58" s="116">
        <v>6.05</v>
      </c>
      <c r="G58" s="116">
        <v>6.18</v>
      </c>
      <c r="H58" s="116">
        <v>6.46</v>
      </c>
      <c r="I58" s="117" t="s">
        <v>559</v>
      </c>
      <c r="J58" s="118" t="s">
        <v>90</v>
      </c>
    </row>
    <row r="59" ht="82.5" customHeight="1">
      <c r="A59" s="120"/>
      <c r="B59" s="116">
        <v>5.6</v>
      </c>
      <c r="C59" s="116">
        <v>5.7</v>
      </c>
      <c r="D59" s="116">
        <v>5.91</v>
      </c>
      <c r="E59" s="116">
        <v>6.08</v>
      </c>
      <c r="F59" s="116">
        <v>6.18</v>
      </c>
      <c r="G59" s="116">
        <v>6.31</v>
      </c>
      <c r="H59" s="116">
        <v>6.75</v>
      </c>
      <c r="I59" s="117" t="s">
        <v>159</v>
      </c>
      <c r="J59" s="118" t="s">
        <v>100</v>
      </c>
    </row>
    <row r="60" ht="82.5" customHeight="1">
      <c r="A60" s="120"/>
      <c r="B60" s="116">
        <v>5.55</v>
      </c>
      <c r="C60" s="116">
        <v>6.0</v>
      </c>
      <c r="D60" s="116">
        <v>6.01</v>
      </c>
      <c r="E60" s="116">
        <v>6.26</v>
      </c>
      <c r="F60" s="116">
        <v>6.31</v>
      </c>
      <c r="G60" s="116">
        <v>6.33</v>
      </c>
      <c r="H60" s="116">
        <v>6.45</v>
      </c>
      <c r="I60" s="117" t="s">
        <v>97</v>
      </c>
      <c r="J60" s="118" t="s">
        <v>100</v>
      </c>
    </row>
    <row r="61" ht="82.5" customHeight="1">
      <c r="A61" s="120"/>
      <c r="B61" s="116">
        <v>5.5</v>
      </c>
      <c r="C61" s="116">
        <v>5.61</v>
      </c>
      <c r="D61" s="116">
        <v>5.85</v>
      </c>
      <c r="E61" s="116">
        <v>5.96</v>
      </c>
      <c r="F61" s="116">
        <v>6.1</v>
      </c>
      <c r="G61" s="116">
        <v>6.34</v>
      </c>
      <c r="H61" s="116">
        <v>6.58</v>
      </c>
      <c r="I61" s="117" t="s">
        <v>567</v>
      </c>
      <c r="J61" s="118" t="s">
        <v>100</v>
      </c>
    </row>
    <row r="62" ht="82.5" customHeight="1">
      <c r="A62" s="120"/>
      <c r="B62" s="116">
        <v>5.46</v>
      </c>
      <c r="C62" s="116">
        <v>6.85</v>
      </c>
      <c r="D62" s="116">
        <v>7.64</v>
      </c>
      <c r="E62" s="116">
        <v>7.82</v>
      </c>
      <c r="F62" s="116">
        <v>8.11</v>
      </c>
      <c r="G62" s="116">
        <v>8.2</v>
      </c>
      <c r="H62" s="116">
        <v>8.56</v>
      </c>
      <c r="I62" s="117" t="s">
        <v>562</v>
      </c>
      <c r="J62" s="118" t="s">
        <v>90</v>
      </c>
    </row>
    <row r="63" ht="82.5" customHeight="1">
      <c r="A63" s="120"/>
      <c r="B63" s="116">
        <v>5.45</v>
      </c>
      <c r="C63" s="116">
        <v>5.96</v>
      </c>
      <c r="D63" s="116">
        <v>6.19</v>
      </c>
      <c r="E63" s="116">
        <v>6.2</v>
      </c>
      <c r="F63" s="116">
        <v>6.36</v>
      </c>
      <c r="G63" s="116">
        <v>6.37</v>
      </c>
      <c r="H63" s="116">
        <v>7.4</v>
      </c>
      <c r="I63" s="117" t="s">
        <v>562</v>
      </c>
      <c r="J63" s="118" t="s">
        <v>100</v>
      </c>
    </row>
    <row r="64" ht="82.5" customHeight="1">
      <c r="A64" s="120"/>
      <c r="B64" s="116">
        <v>5.45</v>
      </c>
      <c r="C64" s="116">
        <v>5.7</v>
      </c>
      <c r="D64" s="116">
        <v>5.78</v>
      </c>
      <c r="E64" s="116">
        <v>5.79</v>
      </c>
      <c r="F64" s="116">
        <v>6.29</v>
      </c>
      <c r="G64" s="116">
        <v>6.34</v>
      </c>
      <c r="H64" s="116">
        <v>6.48</v>
      </c>
      <c r="I64" s="117" t="s">
        <v>559</v>
      </c>
      <c r="J64" s="118" t="s">
        <v>100</v>
      </c>
    </row>
    <row r="65" ht="82.5" customHeight="1">
      <c r="A65" s="120"/>
      <c r="B65" s="116">
        <v>5.45</v>
      </c>
      <c r="C65" s="116">
        <v>5.45</v>
      </c>
      <c r="D65" s="116">
        <v>5.76</v>
      </c>
      <c r="E65" s="116">
        <v>5.88</v>
      </c>
      <c r="F65" s="116">
        <v>6.8</v>
      </c>
      <c r="G65" s="116">
        <v>6.85</v>
      </c>
      <c r="H65" s="116">
        <v>7.2</v>
      </c>
      <c r="I65" s="117" t="s">
        <v>97</v>
      </c>
      <c r="J65" s="118" t="s">
        <v>100</v>
      </c>
    </row>
    <row r="66" ht="82.5" customHeight="1">
      <c r="A66" s="120"/>
      <c r="B66" s="116">
        <v>5.42</v>
      </c>
      <c r="C66" s="116">
        <v>6.87</v>
      </c>
      <c r="D66" s="116">
        <v>7.21</v>
      </c>
      <c r="E66" s="116">
        <v>7.76</v>
      </c>
      <c r="F66" s="116">
        <v>7.83</v>
      </c>
      <c r="G66" s="116">
        <v>7.89</v>
      </c>
      <c r="H66" s="116">
        <v>8.37</v>
      </c>
      <c r="I66" s="117" t="s">
        <v>567</v>
      </c>
      <c r="J66" s="118" t="s">
        <v>90</v>
      </c>
    </row>
    <row r="67" ht="82.5" customHeight="1">
      <c r="A67" s="120"/>
      <c r="B67" s="116">
        <v>5.4</v>
      </c>
      <c r="C67" s="116">
        <v>5.6</v>
      </c>
      <c r="D67" s="116">
        <v>6.1</v>
      </c>
      <c r="E67" s="116">
        <v>6.13</v>
      </c>
      <c r="F67" s="116">
        <v>6.23</v>
      </c>
      <c r="G67" s="116">
        <v>6.52</v>
      </c>
      <c r="H67" s="116">
        <v>7.42</v>
      </c>
      <c r="I67" s="117" t="s">
        <v>560</v>
      </c>
      <c r="J67" s="118" t="s">
        <v>100</v>
      </c>
    </row>
    <row r="68" ht="82.5" customHeight="1">
      <c r="A68" s="120"/>
      <c r="B68" s="116">
        <v>5.37</v>
      </c>
      <c r="C68" s="116">
        <v>5.62</v>
      </c>
      <c r="D68" s="116">
        <v>7.05</v>
      </c>
      <c r="E68" s="116">
        <v>7.11</v>
      </c>
      <c r="F68" s="116">
        <v>7.59</v>
      </c>
      <c r="G68" s="116">
        <v>7.65</v>
      </c>
      <c r="H68" s="116">
        <v>7.92</v>
      </c>
      <c r="I68" s="117" t="s">
        <v>97</v>
      </c>
      <c r="J68" s="118" t="s">
        <v>90</v>
      </c>
    </row>
    <row r="69" ht="82.5" customHeight="1">
      <c r="A69" s="120"/>
      <c r="B69" s="116">
        <v>5.35</v>
      </c>
      <c r="C69" s="116">
        <v>5.5</v>
      </c>
      <c r="D69" s="116">
        <v>5.55</v>
      </c>
      <c r="E69" s="116">
        <v>5.63</v>
      </c>
      <c r="F69" s="116">
        <v>5.64</v>
      </c>
      <c r="G69" s="116">
        <v>5.68</v>
      </c>
      <c r="H69" s="116">
        <v>6.12</v>
      </c>
      <c r="I69" s="117" t="s">
        <v>567</v>
      </c>
      <c r="J69" s="118" t="s">
        <v>100</v>
      </c>
    </row>
    <row r="70" ht="82.5" customHeight="1">
      <c r="A70" s="120"/>
      <c r="B70" s="116">
        <v>5.25</v>
      </c>
      <c r="C70" s="116">
        <v>5.5</v>
      </c>
      <c r="D70" s="116">
        <v>5.52</v>
      </c>
      <c r="E70" s="116">
        <v>5.67</v>
      </c>
      <c r="F70" s="116">
        <v>6.08</v>
      </c>
      <c r="G70" s="116">
        <v>6.11</v>
      </c>
      <c r="H70" s="116">
        <v>6.65</v>
      </c>
      <c r="I70" s="117" t="s">
        <v>569</v>
      </c>
      <c r="J70" s="118" t="s">
        <v>100</v>
      </c>
    </row>
    <row r="71" ht="82.5" customHeight="1">
      <c r="A71" s="120"/>
      <c r="B71" s="116">
        <v>5.23</v>
      </c>
      <c r="C71" s="116">
        <v>5.68</v>
      </c>
      <c r="D71" s="116">
        <v>5.91</v>
      </c>
      <c r="E71" s="116">
        <v>6.11</v>
      </c>
      <c r="F71" s="116">
        <v>6.74</v>
      </c>
      <c r="G71" s="116">
        <v>6.84</v>
      </c>
      <c r="H71" s="116">
        <v>7.45</v>
      </c>
      <c r="I71" s="117" t="s">
        <v>560</v>
      </c>
      <c r="J71" s="118" t="s">
        <v>90</v>
      </c>
    </row>
    <row r="72" ht="82.5" customHeight="1">
      <c r="A72" s="120"/>
      <c r="B72" s="116">
        <v>5.2</v>
      </c>
      <c r="C72" s="116">
        <v>5.32</v>
      </c>
      <c r="D72" s="116">
        <v>5.52</v>
      </c>
      <c r="E72" s="116">
        <v>5.59</v>
      </c>
      <c r="F72" s="116">
        <v>5.85</v>
      </c>
      <c r="G72" s="116">
        <v>5.9</v>
      </c>
      <c r="H72" s="116">
        <v>6.08</v>
      </c>
      <c r="I72" s="117" t="s">
        <v>159</v>
      </c>
      <c r="J72" s="118" t="s">
        <v>100</v>
      </c>
    </row>
    <row r="73" ht="82.5" customHeight="1">
      <c r="A73" s="120"/>
      <c r="B73" s="116">
        <v>5.15</v>
      </c>
      <c r="C73" s="116">
        <v>5.18</v>
      </c>
      <c r="D73" s="116">
        <v>6.33</v>
      </c>
      <c r="E73" s="116">
        <v>6.39</v>
      </c>
      <c r="F73" s="116">
        <v>6.95</v>
      </c>
      <c r="G73" s="116">
        <v>6.96</v>
      </c>
      <c r="H73" s="116">
        <v>7.35</v>
      </c>
      <c r="I73" s="117" t="s">
        <v>560</v>
      </c>
      <c r="J73" s="118" t="s">
        <v>100</v>
      </c>
    </row>
    <row r="74" ht="82.5" customHeight="1">
      <c r="A74" s="120"/>
      <c r="B74" s="116">
        <v>5.15</v>
      </c>
      <c r="C74" s="116">
        <v>5.3</v>
      </c>
      <c r="D74" s="116">
        <v>5.44</v>
      </c>
      <c r="E74" s="116">
        <v>5.49</v>
      </c>
      <c r="F74" s="116">
        <v>5.52</v>
      </c>
      <c r="G74" s="116">
        <v>5.56</v>
      </c>
      <c r="H74" s="116">
        <v>5.7</v>
      </c>
      <c r="I74" s="117" t="s">
        <v>569</v>
      </c>
      <c r="J74" s="118" t="s">
        <v>100</v>
      </c>
    </row>
    <row r="75" ht="82.5" customHeight="1">
      <c r="A75" s="120"/>
      <c r="B75" s="116">
        <v>5.13</v>
      </c>
      <c r="C75" s="116">
        <v>5.37</v>
      </c>
      <c r="D75" s="116">
        <v>5.72</v>
      </c>
      <c r="E75" s="116">
        <v>5.84</v>
      </c>
      <c r="F75" s="116">
        <v>6.7</v>
      </c>
      <c r="G75" s="116">
        <v>6.8</v>
      </c>
      <c r="H75" s="116">
        <v>8.94</v>
      </c>
      <c r="I75" s="117" t="s">
        <v>569</v>
      </c>
      <c r="J75" s="118" t="s">
        <v>90</v>
      </c>
    </row>
    <row r="76" ht="82.5" customHeight="1">
      <c r="A76" s="120"/>
      <c r="B76" s="116">
        <v>5.13</v>
      </c>
      <c r="C76" s="116">
        <v>5.3</v>
      </c>
      <c r="D76" s="116">
        <v>5.51</v>
      </c>
      <c r="E76" s="116">
        <v>5.61</v>
      </c>
      <c r="F76" s="116">
        <v>6.91</v>
      </c>
      <c r="G76" s="116">
        <v>6.92</v>
      </c>
      <c r="H76" s="116">
        <v>7.68</v>
      </c>
      <c r="I76" s="117" t="s">
        <v>569</v>
      </c>
      <c r="J76" s="118" t="s">
        <v>90</v>
      </c>
    </row>
    <row r="77" ht="82.5" customHeight="1">
      <c r="A77" s="120"/>
      <c r="B77" s="116">
        <v>5.1</v>
      </c>
      <c r="C77" s="116">
        <v>5.35</v>
      </c>
      <c r="D77" s="116">
        <v>5.43</v>
      </c>
      <c r="E77" s="116">
        <v>5.49</v>
      </c>
      <c r="F77" s="116">
        <v>5.51</v>
      </c>
      <c r="G77" s="116">
        <v>5.58</v>
      </c>
      <c r="H77" s="116">
        <v>6.18</v>
      </c>
      <c r="I77" s="117" t="s">
        <v>560</v>
      </c>
      <c r="J77" s="118" t="s">
        <v>100</v>
      </c>
    </row>
    <row r="78" ht="82.5" customHeight="1">
      <c r="A78" s="120"/>
      <c r="B78" s="116">
        <v>5.08</v>
      </c>
      <c r="C78" s="116">
        <v>5.23</v>
      </c>
      <c r="D78" s="116">
        <v>5.26</v>
      </c>
      <c r="E78" s="116">
        <v>5.43</v>
      </c>
      <c r="F78" s="116">
        <v>5.6</v>
      </c>
      <c r="G78" s="116">
        <v>5.71</v>
      </c>
      <c r="H78" s="116">
        <v>6.36</v>
      </c>
      <c r="I78" s="117" t="s">
        <v>562</v>
      </c>
      <c r="J78" s="118" t="s">
        <v>90</v>
      </c>
    </row>
    <row r="79" ht="82.5" customHeight="1">
      <c r="A79" s="120"/>
      <c r="B79" s="116">
        <v>5.0</v>
      </c>
      <c r="C79" s="116">
        <v>5.03</v>
      </c>
      <c r="D79" s="116">
        <v>5.53</v>
      </c>
      <c r="E79" s="116">
        <v>5.57</v>
      </c>
      <c r="F79" s="116">
        <v>5.63</v>
      </c>
      <c r="G79" s="116">
        <v>5.68</v>
      </c>
      <c r="H79" s="116">
        <v>5.8</v>
      </c>
      <c r="I79" s="117" t="s">
        <v>567</v>
      </c>
      <c r="J79" s="118" t="s">
        <v>100</v>
      </c>
    </row>
    <row r="80" ht="82.5" customHeight="1">
      <c r="A80" s="120"/>
      <c r="B80" s="116">
        <v>5.0</v>
      </c>
      <c r="C80" s="116">
        <v>5.15</v>
      </c>
      <c r="D80" s="116">
        <v>5.4</v>
      </c>
      <c r="E80" s="116">
        <v>5.7</v>
      </c>
      <c r="F80" s="116">
        <v>6.3</v>
      </c>
      <c r="G80" s="116">
        <v>6.31</v>
      </c>
      <c r="H80" s="116">
        <v>7.31</v>
      </c>
      <c r="I80" s="117" t="s">
        <v>567</v>
      </c>
      <c r="J80" s="118" t="s">
        <v>100</v>
      </c>
    </row>
    <row r="81" ht="82.5" customHeight="1">
      <c r="A81" s="120"/>
      <c r="B81" s="116">
        <v>5.0</v>
      </c>
      <c r="C81" s="116">
        <v>5.15</v>
      </c>
      <c r="D81" s="116">
        <v>5.35</v>
      </c>
      <c r="E81" s="116">
        <v>5.5</v>
      </c>
      <c r="F81" s="116">
        <v>5.75</v>
      </c>
      <c r="G81" s="116">
        <v>5.79</v>
      </c>
      <c r="H81" s="116">
        <v>6.13</v>
      </c>
      <c r="I81" s="117" t="s">
        <v>567</v>
      </c>
      <c r="J81" s="118" t="s">
        <v>100</v>
      </c>
    </row>
    <row r="82" ht="82.5" customHeight="1">
      <c r="A82" s="120"/>
      <c r="B82" s="116">
        <v>5.0</v>
      </c>
      <c r="C82" s="116">
        <v>5.01</v>
      </c>
      <c r="D82" s="116">
        <v>5.26</v>
      </c>
      <c r="E82" s="116">
        <v>5.28</v>
      </c>
      <c r="F82" s="116">
        <v>5.33</v>
      </c>
      <c r="G82" s="116">
        <v>5.41</v>
      </c>
      <c r="H82" s="116">
        <v>5.66</v>
      </c>
      <c r="I82" s="117" t="s">
        <v>159</v>
      </c>
      <c r="J82" s="118" t="s">
        <v>100</v>
      </c>
    </row>
    <row r="83" ht="82.5" customHeight="1">
      <c r="A83" s="120"/>
      <c r="B83" s="116">
        <v>4.99</v>
      </c>
      <c r="C83" s="116">
        <v>5.86</v>
      </c>
      <c r="D83" s="116">
        <v>6.01</v>
      </c>
      <c r="E83" s="116">
        <v>6.07</v>
      </c>
      <c r="F83" s="116">
        <v>6.12</v>
      </c>
      <c r="G83" s="116">
        <v>6.19</v>
      </c>
      <c r="H83" s="116">
        <v>6.52</v>
      </c>
      <c r="I83" s="117" t="s">
        <v>97</v>
      </c>
      <c r="J83" s="118" t="s">
        <v>90</v>
      </c>
    </row>
    <row r="84" ht="82.5" customHeight="1">
      <c r="A84" s="120"/>
      <c r="B84" s="116">
        <v>4.99</v>
      </c>
      <c r="C84" s="116">
        <v>5.3</v>
      </c>
      <c r="D84" s="116">
        <v>5.3</v>
      </c>
      <c r="E84" s="116">
        <v>5.75</v>
      </c>
      <c r="F84" s="116">
        <v>5.84</v>
      </c>
      <c r="G84" s="116">
        <v>5.86</v>
      </c>
      <c r="H84" s="116">
        <v>7.01</v>
      </c>
      <c r="I84" s="117" t="s">
        <v>567</v>
      </c>
      <c r="J84" s="118" t="s">
        <v>90</v>
      </c>
    </row>
    <row r="85" ht="82.5" customHeight="1">
      <c r="A85" s="120"/>
      <c r="B85" s="116">
        <v>4.95</v>
      </c>
      <c r="C85" s="116">
        <v>5.11</v>
      </c>
      <c r="D85" s="116">
        <v>5.19</v>
      </c>
      <c r="E85" s="116">
        <v>5.29</v>
      </c>
      <c r="F85" s="116">
        <v>5.29</v>
      </c>
      <c r="G85" s="116">
        <v>5.38</v>
      </c>
      <c r="H85" s="116">
        <v>6.38</v>
      </c>
      <c r="I85" s="117" t="s">
        <v>567</v>
      </c>
      <c r="J85" s="118" t="s">
        <v>100</v>
      </c>
    </row>
    <row r="86" ht="82.5" customHeight="1">
      <c r="A86" s="120"/>
      <c r="B86" s="116">
        <v>4.95</v>
      </c>
      <c r="C86" s="116">
        <v>4.98</v>
      </c>
      <c r="D86" s="116">
        <v>5.18</v>
      </c>
      <c r="E86" s="116">
        <v>5.19</v>
      </c>
      <c r="F86" s="116">
        <v>5.27</v>
      </c>
      <c r="G86" s="116">
        <v>5.37</v>
      </c>
      <c r="H86" s="116">
        <v>5.87</v>
      </c>
      <c r="I86" s="117" t="s">
        <v>567</v>
      </c>
      <c r="J86" s="118" t="s">
        <v>100</v>
      </c>
    </row>
    <row r="87" ht="82.5" customHeight="1">
      <c r="A87" s="120"/>
      <c r="B87" s="116">
        <v>4.75</v>
      </c>
      <c r="C87" s="116">
        <v>4.95</v>
      </c>
      <c r="D87" s="116">
        <v>5.1</v>
      </c>
      <c r="E87" s="116">
        <v>5.28</v>
      </c>
      <c r="F87" s="116">
        <v>5.38</v>
      </c>
      <c r="G87" s="116">
        <v>5.4</v>
      </c>
      <c r="H87" s="116">
        <v>6.15</v>
      </c>
      <c r="I87" s="117" t="s">
        <v>562</v>
      </c>
      <c r="J87" s="118" t="s">
        <v>100</v>
      </c>
    </row>
    <row r="88" ht="82.5" customHeight="1">
      <c r="A88" s="141"/>
      <c r="B88" s="116">
        <v>4.7</v>
      </c>
      <c r="C88" s="116">
        <v>4.74</v>
      </c>
      <c r="D88" s="116">
        <v>4.95</v>
      </c>
      <c r="E88" s="116">
        <v>4.97</v>
      </c>
      <c r="F88" s="116">
        <v>5.07</v>
      </c>
      <c r="G88" s="116">
        <v>5.16</v>
      </c>
      <c r="H88" s="116">
        <v>5.47</v>
      </c>
      <c r="I88" s="117" t="s">
        <v>569</v>
      </c>
      <c r="J88" s="118" t="s">
        <v>100</v>
      </c>
    </row>
    <row r="89" ht="82.5" customHeight="1">
      <c r="A89" s="120"/>
      <c r="B89" s="116">
        <v>4.7</v>
      </c>
      <c r="C89" s="116">
        <v>4.74</v>
      </c>
      <c r="D89" s="116">
        <v>4.84</v>
      </c>
      <c r="E89" s="116">
        <v>4.99</v>
      </c>
      <c r="F89" s="116">
        <v>5.02</v>
      </c>
      <c r="G89" s="116">
        <v>5.05</v>
      </c>
      <c r="H89" s="116">
        <v>5.16</v>
      </c>
      <c r="I89" s="117" t="s">
        <v>560</v>
      </c>
      <c r="J89" s="118" t="s">
        <v>100</v>
      </c>
    </row>
    <row r="90" ht="82.5" customHeight="1">
      <c r="A90" s="120"/>
      <c r="B90" s="116">
        <v>4.7</v>
      </c>
      <c r="C90" s="116">
        <v>4.7</v>
      </c>
      <c r="D90" s="116">
        <v>4.74</v>
      </c>
      <c r="E90" s="116">
        <v>4.76</v>
      </c>
      <c r="F90" s="116">
        <v>5.01</v>
      </c>
      <c r="G90" s="116">
        <v>5.12</v>
      </c>
      <c r="H90" s="116">
        <v>5.33</v>
      </c>
      <c r="I90" s="117" t="s">
        <v>567</v>
      </c>
      <c r="J90" s="118" t="s">
        <v>100</v>
      </c>
    </row>
    <row r="91" ht="82.5" customHeight="1">
      <c r="A91" s="120"/>
      <c r="B91" s="116">
        <v>4.66</v>
      </c>
      <c r="C91" s="116">
        <v>5.3</v>
      </c>
      <c r="D91" s="116">
        <v>5.61</v>
      </c>
      <c r="E91" s="116">
        <v>5.68</v>
      </c>
      <c r="F91" s="116">
        <v>5.96</v>
      </c>
      <c r="G91" s="116">
        <v>5.99</v>
      </c>
      <c r="H91" s="116">
        <v>6.5</v>
      </c>
      <c r="I91" s="117" t="s">
        <v>559</v>
      </c>
      <c r="J91" s="118" t="s">
        <v>90</v>
      </c>
    </row>
    <row r="92" ht="82.5" customHeight="1">
      <c r="A92" s="120"/>
      <c r="B92" s="116">
        <v>4.5</v>
      </c>
      <c r="C92" s="116">
        <v>4.51</v>
      </c>
      <c r="D92" s="116">
        <v>4.56</v>
      </c>
      <c r="E92" s="116">
        <v>4.57</v>
      </c>
      <c r="F92" s="116">
        <v>4.97</v>
      </c>
      <c r="G92" s="116">
        <v>5.07</v>
      </c>
      <c r="H92" s="116">
        <v>5.55</v>
      </c>
      <c r="I92" s="117" t="s">
        <v>560</v>
      </c>
      <c r="J92" s="118" t="s">
        <v>100</v>
      </c>
    </row>
    <row r="93" ht="82.5" customHeight="1">
      <c r="A93" s="142"/>
      <c r="B93" s="116">
        <v>4.45</v>
      </c>
      <c r="C93" s="116">
        <v>5.47</v>
      </c>
      <c r="D93" s="116">
        <v>5.62</v>
      </c>
      <c r="E93" s="116">
        <v>5.65</v>
      </c>
      <c r="F93" s="116">
        <v>5.73</v>
      </c>
      <c r="G93" s="116">
        <v>5.77</v>
      </c>
      <c r="H93" s="116">
        <v>5.92</v>
      </c>
      <c r="I93" s="117" t="s">
        <v>159</v>
      </c>
      <c r="J93" s="118" t="s">
        <v>100</v>
      </c>
    </row>
    <row r="94" ht="82.5" customHeight="1">
      <c r="A94" s="120"/>
      <c r="B94" s="116">
        <v>4.45</v>
      </c>
      <c r="C94" s="116">
        <v>4.57</v>
      </c>
      <c r="D94" s="116">
        <v>4.73</v>
      </c>
      <c r="E94" s="116">
        <v>4.75</v>
      </c>
      <c r="F94" s="116">
        <v>5.25</v>
      </c>
      <c r="G94" s="116">
        <v>5.3</v>
      </c>
      <c r="H94" s="116">
        <v>5.54</v>
      </c>
      <c r="I94" s="117" t="s">
        <v>569</v>
      </c>
      <c r="J94" s="118" t="s">
        <v>100</v>
      </c>
    </row>
    <row r="95" ht="82.5" customHeight="1">
      <c r="A95" s="120"/>
      <c r="B95" s="116">
        <v>4.2</v>
      </c>
      <c r="C95" s="116">
        <v>4.21</v>
      </c>
      <c r="D95" s="116">
        <v>4.37</v>
      </c>
      <c r="E95" s="116">
        <v>4.47</v>
      </c>
      <c r="F95" s="116">
        <v>4.72</v>
      </c>
      <c r="G95" s="116">
        <v>4.76</v>
      </c>
      <c r="H95" s="116">
        <v>6.33</v>
      </c>
      <c r="I95" s="117" t="s">
        <v>159</v>
      </c>
      <c r="J95" s="118" t="s">
        <v>100</v>
      </c>
    </row>
    <row r="96" ht="82.5" customHeight="1">
      <c r="A96" s="120"/>
      <c r="B96" s="116">
        <v>4.2</v>
      </c>
      <c r="C96" s="116">
        <v>4.23</v>
      </c>
      <c r="D96" s="116">
        <v>4.3</v>
      </c>
      <c r="E96" s="116">
        <v>4.36</v>
      </c>
      <c r="F96" s="116">
        <v>4.37</v>
      </c>
      <c r="G96" s="116">
        <v>4.4</v>
      </c>
      <c r="H96" s="116">
        <v>4.48</v>
      </c>
      <c r="I96" s="117" t="s">
        <v>159</v>
      </c>
      <c r="J96" s="118" t="s">
        <v>100</v>
      </c>
    </row>
    <row r="97" ht="82.5" customHeight="1">
      <c r="A97" s="120"/>
      <c r="B97" s="116">
        <v>4.05</v>
      </c>
      <c r="C97" s="116">
        <v>4.05</v>
      </c>
      <c r="D97" s="116">
        <v>4.05</v>
      </c>
      <c r="E97" s="116">
        <v>4.05</v>
      </c>
      <c r="F97" s="116">
        <v>4.05</v>
      </c>
      <c r="G97" s="116">
        <v>4.05</v>
      </c>
      <c r="H97" s="116">
        <v>4.05</v>
      </c>
      <c r="I97" s="117" t="s">
        <v>567</v>
      </c>
      <c r="J97" s="118" t="s">
        <v>100</v>
      </c>
    </row>
    <row r="98" ht="82.5" customHeight="1">
      <c r="A98" s="120"/>
      <c r="B98" s="116">
        <v>4.0</v>
      </c>
      <c r="C98" s="116">
        <v>4.01</v>
      </c>
      <c r="D98" s="116">
        <v>4.07</v>
      </c>
      <c r="E98" s="116">
        <v>4.1</v>
      </c>
      <c r="F98" s="116">
        <v>4.14</v>
      </c>
      <c r="G98" s="116">
        <v>4.41</v>
      </c>
      <c r="H98" s="116">
        <v>5.48</v>
      </c>
      <c r="I98" s="117" t="s">
        <v>560</v>
      </c>
      <c r="J98" s="118" t="s">
        <v>100</v>
      </c>
    </row>
    <row r="99" ht="82.5" customHeight="1">
      <c r="A99" s="143"/>
      <c r="B99" s="116">
        <v>3.95</v>
      </c>
      <c r="C99" s="116">
        <v>3.95</v>
      </c>
      <c r="D99" s="116">
        <v>4.19</v>
      </c>
      <c r="E99" s="116">
        <v>4.21</v>
      </c>
      <c r="F99" s="116">
        <v>4.31</v>
      </c>
      <c r="G99" s="116">
        <v>4.33</v>
      </c>
      <c r="H99" s="116">
        <v>4.95</v>
      </c>
      <c r="I99" s="117" t="s">
        <v>97</v>
      </c>
      <c r="J99" s="118" t="s">
        <v>100</v>
      </c>
    </row>
    <row r="100" ht="82.5" customHeight="1">
      <c r="A100" s="120"/>
      <c r="B100" s="116">
        <v>3.95</v>
      </c>
      <c r="C100" s="116">
        <v>3.95</v>
      </c>
      <c r="D100" s="116">
        <v>3.98</v>
      </c>
      <c r="E100" s="116">
        <v>4.1</v>
      </c>
      <c r="F100" s="116">
        <v>4.63</v>
      </c>
      <c r="G100" s="116">
        <v>4.69</v>
      </c>
      <c r="H100" s="116">
        <v>4.73</v>
      </c>
      <c r="I100" s="117" t="s">
        <v>559</v>
      </c>
      <c r="J100" s="118" t="s">
        <v>100</v>
      </c>
    </row>
    <row r="101" ht="82.5" customHeight="1">
      <c r="A101" s="144"/>
      <c r="B101" s="116">
        <v>3.75</v>
      </c>
      <c r="C101" s="116">
        <v>3.99</v>
      </c>
      <c r="D101" s="116">
        <v>4.26</v>
      </c>
      <c r="E101" s="116">
        <v>4.28</v>
      </c>
      <c r="F101" s="116">
        <v>4.52</v>
      </c>
      <c r="G101" s="116">
        <v>4.53</v>
      </c>
      <c r="H101" s="116">
        <v>4.6</v>
      </c>
      <c r="I101" s="117" t="s">
        <v>560</v>
      </c>
      <c r="J101" s="118" t="s">
        <v>100</v>
      </c>
    </row>
    <row r="102" ht="82.5" customHeight="1">
      <c r="A102" s="120"/>
      <c r="B102" s="116">
        <v>3.75</v>
      </c>
      <c r="C102" s="116">
        <v>3.85</v>
      </c>
      <c r="D102" s="116">
        <v>3.86</v>
      </c>
      <c r="E102" s="116">
        <v>3.9</v>
      </c>
      <c r="F102" s="116">
        <v>3.9</v>
      </c>
      <c r="G102" s="116">
        <v>3.95</v>
      </c>
      <c r="H102" s="116">
        <v>5.04</v>
      </c>
      <c r="I102" s="117" t="s">
        <v>562</v>
      </c>
      <c r="J102" s="118" t="s">
        <v>100</v>
      </c>
    </row>
    <row r="103" ht="82.5" customHeight="1">
      <c r="A103" s="120"/>
      <c r="B103" s="116">
        <v>3.5</v>
      </c>
      <c r="C103" s="116">
        <v>3.51</v>
      </c>
      <c r="D103" s="116">
        <v>3.61</v>
      </c>
      <c r="E103" s="116">
        <v>3.62</v>
      </c>
      <c r="F103" s="116">
        <v>3.64</v>
      </c>
      <c r="G103" s="116">
        <v>3.77</v>
      </c>
      <c r="H103" s="116">
        <v>6.7</v>
      </c>
      <c r="I103" s="117" t="s">
        <v>97</v>
      </c>
      <c r="J103" s="118" t="s">
        <v>100</v>
      </c>
    </row>
    <row r="104" ht="82.5" customHeight="1">
      <c r="A104" s="120"/>
      <c r="B104" s="116">
        <v>3.45</v>
      </c>
      <c r="C104" s="116">
        <v>3.55</v>
      </c>
      <c r="D104" s="116">
        <v>3.8</v>
      </c>
      <c r="E104" s="116">
        <v>3.9</v>
      </c>
      <c r="F104" s="116">
        <v>3.95</v>
      </c>
      <c r="G104" s="116">
        <v>4.05</v>
      </c>
      <c r="H104" s="116">
        <v>4.65</v>
      </c>
      <c r="I104" s="117" t="s">
        <v>562</v>
      </c>
      <c r="J104" s="118" t="s">
        <v>100</v>
      </c>
    </row>
    <row r="105" ht="82.5" customHeight="1">
      <c r="A105" s="145"/>
      <c r="B105" s="116">
        <v>3.45</v>
      </c>
      <c r="C105" s="116">
        <v>3.53</v>
      </c>
      <c r="D105" s="116">
        <v>3.62</v>
      </c>
      <c r="E105" s="116">
        <v>3.68</v>
      </c>
      <c r="F105" s="116">
        <v>3.93</v>
      </c>
      <c r="G105" s="116">
        <v>3.97</v>
      </c>
      <c r="H105" s="116">
        <v>4.02</v>
      </c>
      <c r="I105" s="117" t="s">
        <v>562</v>
      </c>
      <c r="J105" s="118" t="s">
        <v>100</v>
      </c>
    </row>
    <row r="106" ht="82.5" customHeight="1">
      <c r="A106" s="120"/>
      <c r="B106" s="116">
        <v>3.45</v>
      </c>
      <c r="C106" s="116">
        <v>3.45</v>
      </c>
      <c r="D106" s="116">
        <v>3.5</v>
      </c>
      <c r="E106" s="116">
        <v>3.57</v>
      </c>
      <c r="F106" s="116">
        <v>3.64</v>
      </c>
      <c r="G106" s="116">
        <v>3.68</v>
      </c>
      <c r="H106" s="116">
        <v>4.21</v>
      </c>
      <c r="I106" s="117" t="s">
        <v>559</v>
      </c>
      <c r="J106" s="118" t="s">
        <v>100</v>
      </c>
    </row>
    <row r="107" ht="82.5" customHeight="1">
      <c r="A107" s="120"/>
      <c r="B107" s="116">
        <v>3.23</v>
      </c>
      <c r="C107" s="116">
        <v>3.8</v>
      </c>
      <c r="D107" s="116">
        <v>3.8</v>
      </c>
      <c r="E107" s="116">
        <v>3.85</v>
      </c>
      <c r="F107" s="116">
        <v>3.92</v>
      </c>
      <c r="G107" s="116">
        <v>3.99</v>
      </c>
      <c r="H107" s="116">
        <v>4.53</v>
      </c>
      <c r="I107" s="117" t="s">
        <v>567</v>
      </c>
      <c r="J107" s="118" t="s">
        <v>90</v>
      </c>
    </row>
    <row r="108" ht="82.5" customHeight="1">
      <c r="A108" s="120"/>
      <c r="B108" s="116"/>
      <c r="C108" s="116"/>
      <c r="D108" s="116"/>
      <c r="E108" s="116"/>
      <c r="F108" s="116"/>
      <c r="G108" s="116"/>
      <c r="H108" s="116"/>
      <c r="I108" s="117" t="s">
        <v>559</v>
      </c>
      <c r="J108" s="118" t="s">
        <v>90</v>
      </c>
    </row>
    <row r="109" ht="82.5" customHeight="1">
      <c r="A109" s="120"/>
      <c r="B109" s="116"/>
      <c r="C109" s="146"/>
      <c r="D109" s="146"/>
      <c r="E109" s="146"/>
      <c r="F109" s="146"/>
      <c r="G109" s="146"/>
      <c r="H109" s="146"/>
      <c r="I109" s="117" t="s">
        <v>559</v>
      </c>
      <c r="J109" s="118" t="s">
        <v>90</v>
      </c>
    </row>
    <row r="110" ht="82.5" customHeight="1">
      <c r="A110" s="120"/>
      <c r="B110" s="116"/>
      <c r="C110" s="146"/>
      <c r="D110" s="146"/>
      <c r="E110" s="146"/>
      <c r="F110" s="146"/>
      <c r="G110" s="146"/>
      <c r="H110" s="146"/>
      <c r="I110" s="117" t="s">
        <v>97</v>
      </c>
      <c r="J110" s="118" t="s">
        <v>90</v>
      </c>
    </row>
    <row r="111" ht="82.5" customHeight="1">
      <c r="A111" s="120"/>
      <c r="B111" s="116"/>
      <c r="C111" s="146"/>
      <c r="D111" s="146"/>
      <c r="E111" s="146"/>
      <c r="F111" s="146"/>
      <c r="G111" s="146"/>
      <c r="H111" s="146"/>
      <c r="I111" s="117" t="s">
        <v>562</v>
      </c>
      <c r="J111" s="118" t="s">
        <v>90</v>
      </c>
    </row>
    <row r="112" ht="82.5" customHeight="1">
      <c r="A112" s="120"/>
      <c r="B112" s="116"/>
      <c r="C112" s="146"/>
      <c r="D112" s="146"/>
      <c r="E112" s="146"/>
      <c r="F112" s="146"/>
      <c r="G112" s="146"/>
      <c r="H112" s="146"/>
      <c r="I112" s="117" t="s">
        <v>159</v>
      </c>
      <c r="J112" s="118" t="s">
        <v>90</v>
      </c>
    </row>
    <row r="113" ht="82.5" customHeight="1">
      <c r="A113" s="120"/>
      <c r="B113" s="116"/>
      <c r="C113" s="146"/>
      <c r="D113" s="146"/>
      <c r="E113" s="146"/>
      <c r="F113" s="146"/>
      <c r="G113" s="146"/>
      <c r="H113" s="146"/>
      <c r="I113" s="117" t="s">
        <v>97</v>
      </c>
      <c r="J113" s="118" t="s">
        <v>100</v>
      </c>
    </row>
    <row r="114" ht="82.5" customHeight="1">
      <c r="A114" s="120"/>
      <c r="B114" s="116"/>
      <c r="C114" s="146"/>
      <c r="D114" s="146"/>
      <c r="E114" s="146"/>
      <c r="F114" s="146"/>
      <c r="G114" s="146"/>
      <c r="H114" s="146"/>
      <c r="I114" s="117" t="s">
        <v>560</v>
      </c>
      <c r="J114" s="118" t="s">
        <v>100</v>
      </c>
    </row>
  </sheetData>
  <mergeCells count="6">
    <mergeCell ref="K1:V1"/>
    <mergeCell ref="K2:K114"/>
    <mergeCell ref="L2:T2"/>
    <mergeCell ref="U2:V114"/>
    <mergeCell ref="L3:T3"/>
    <mergeCell ref="L7:T114"/>
  </mergeCells>
  <drawing r:id="rId2"/>
  <legacyDrawing r:id="rId3"/>
  <tableParts count="1">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4.0"/>
    <col customWidth="1" min="3" max="4" width="13.13"/>
    <col customWidth="1" min="5" max="5" width="63.5"/>
  </cols>
  <sheetData>
    <row r="1" ht="21.75" customHeight="1">
      <c r="A1" s="147" t="s">
        <v>68</v>
      </c>
      <c r="B1" s="148" t="s">
        <v>570</v>
      </c>
      <c r="C1" s="149" t="s">
        <v>571</v>
      </c>
      <c r="D1" s="150" t="s">
        <v>572</v>
      </c>
      <c r="E1" s="151" t="s">
        <v>89</v>
      </c>
    </row>
    <row r="2" ht="21.75" customHeight="1">
      <c r="A2" s="152" t="s">
        <v>573</v>
      </c>
      <c r="B2" s="153" t="s">
        <v>574</v>
      </c>
      <c r="C2" s="154">
        <v>0.18</v>
      </c>
      <c r="D2" s="155" t="s">
        <v>14</v>
      </c>
      <c r="E2" s="156" t="s">
        <v>575</v>
      </c>
    </row>
    <row r="3" ht="21.75" customHeight="1">
      <c r="A3" s="157" t="s">
        <v>576</v>
      </c>
      <c r="B3" s="158" t="s">
        <v>554</v>
      </c>
      <c r="C3" s="159">
        <v>0.16</v>
      </c>
      <c r="D3" s="160" t="s">
        <v>14</v>
      </c>
      <c r="E3" s="161" t="s">
        <v>577</v>
      </c>
    </row>
    <row r="4" ht="21.75" customHeight="1">
      <c r="A4" s="162"/>
      <c r="B4" s="163" t="s">
        <v>555</v>
      </c>
      <c r="C4" s="164">
        <v>0.21</v>
      </c>
      <c r="D4" s="165" t="s">
        <v>14</v>
      </c>
      <c r="E4" s="166" t="s">
        <v>578</v>
      </c>
    </row>
    <row r="5" ht="21.75" customHeight="1">
      <c r="A5" s="167"/>
      <c r="B5" s="158" t="s">
        <v>579</v>
      </c>
      <c r="C5" s="159">
        <v>0.26</v>
      </c>
      <c r="D5" s="160" t="s">
        <v>120</v>
      </c>
      <c r="E5" s="161" t="s">
        <v>580</v>
      </c>
    </row>
    <row r="6" ht="21.75" customHeight="1">
      <c r="A6" s="167"/>
      <c r="B6" s="163" t="s">
        <v>557</v>
      </c>
      <c r="C6" s="164">
        <v>0.05</v>
      </c>
      <c r="D6" s="165" t="s">
        <v>14</v>
      </c>
      <c r="E6" s="166" t="s">
        <v>578</v>
      </c>
    </row>
    <row r="7" ht="21.75" customHeight="1">
      <c r="A7" s="168"/>
      <c r="B7" s="169" t="s">
        <v>581</v>
      </c>
      <c r="C7" s="170">
        <v>0.71</v>
      </c>
      <c r="D7" s="171" t="s">
        <v>14</v>
      </c>
      <c r="E7" s="172" t="s">
        <v>582</v>
      </c>
    </row>
    <row r="8" ht="21.75" customHeight="1">
      <c r="A8" s="173"/>
      <c r="B8" s="163" t="s">
        <v>553</v>
      </c>
      <c r="C8" s="164" t="s">
        <v>14</v>
      </c>
      <c r="D8" s="165" t="s">
        <v>583</v>
      </c>
      <c r="E8" s="166" t="s">
        <v>584</v>
      </c>
    </row>
    <row r="9" ht="21.75" customHeight="1">
      <c r="A9" s="157" t="s">
        <v>585</v>
      </c>
      <c r="B9" s="158" t="s">
        <v>554</v>
      </c>
      <c r="C9" s="159" t="s">
        <v>586</v>
      </c>
      <c r="D9" s="160" t="s">
        <v>400</v>
      </c>
      <c r="E9" s="161" t="s">
        <v>587</v>
      </c>
    </row>
    <row r="10" ht="21.75" customHeight="1">
      <c r="A10" s="162"/>
      <c r="B10" s="163" t="s">
        <v>555</v>
      </c>
      <c r="C10" s="164">
        <v>0.04</v>
      </c>
      <c r="D10" s="165" t="s">
        <v>588</v>
      </c>
      <c r="E10" s="166" t="s">
        <v>589</v>
      </c>
    </row>
    <row r="11" ht="21.75" customHeight="1">
      <c r="A11" s="167"/>
      <c r="B11" s="158" t="s">
        <v>590</v>
      </c>
      <c r="C11" s="159">
        <v>0.03</v>
      </c>
      <c r="D11" s="160" t="s">
        <v>14</v>
      </c>
      <c r="E11" s="161" t="s">
        <v>591</v>
      </c>
    </row>
    <row r="12" ht="21.75" customHeight="1">
      <c r="A12" s="167"/>
      <c r="B12" s="163" t="s">
        <v>557</v>
      </c>
      <c r="C12" s="164">
        <v>0.15</v>
      </c>
      <c r="D12" s="165" t="s">
        <v>14</v>
      </c>
      <c r="E12" s="166" t="s">
        <v>578</v>
      </c>
    </row>
    <row r="13" ht="21.75" customHeight="1">
      <c r="A13" s="168"/>
      <c r="B13" s="169" t="s">
        <v>592</v>
      </c>
      <c r="C13" s="170">
        <v>0.38</v>
      </c>
      <c r="D13" s="171" t="s">
        <v>593</v>
      </c>
      <c r="E13" s="172" t="s">
        <v>594</v>
      </c>
    </row>
    <row r="14" ht="21.75" customHeight="1">
      <c r="A14" s="152" t="s">
        <v>573</v>
      </c>
      <c r="B14" s="153" t="s">
        <v>595</v>
      </c>
      <c r="C14" s="154">
        <v>0.37</v>
      </c>
      <c r="D14" s="155">
        <v>0.14</v>
      </c>
      <c r="E14" s="156" t="s">
        <v>596</v>
      </c>
    </row>
    <row r="15" ht="21.75" customHeight="1">
      <c r="A15" s="157" t="s">
        <v>597</v>
      </c>
      <c r="B15" s="158" t="s">
        <v>598</v>
      </c>
      <c r="C15" s="159">
        <v>0.21</v>
      </c>
      <c r="D15" s="160">
        <v>0.04</v>
      </c>
      <c r="E15" s="161" t="s">
        <v>599</v>
      </c>
    </row>
    <row r="16" ht="21.75" customHeight="1">
      <c r="A16" s="162"/>
      <c r="B16" s="163" t="s">
        <v>555</v>
      </c>
      <c r="C16" s="164">
        <v>0.16</v>
      </c>
      <c r="D16" s="165">
        <v>0.06</v>
      </c>
      <c r="E16" s="166" t="s">
        <v>600</v>
      </c>
    </row>
    <row r="17" ht="21.75" customHeight="1">
      <c r="A17" s="167"/>
      <c r="B17" s="158" t="s">
        <v>556</v>
      </c>
      <c r="C17" s="159">
        <v>0.15</v>
      </c>
      <c r="D17" s="160" t="s">
        <v>14</v>
      </c>
      <c r="E17" s="161" t="s">
        <v>601</v>
      </c>
    </row>
    <row r="18" ht="21.75" customHeight="1">
      <c r="A18" s="167"/>
      <c r="B18" s="163" t="s">
        <v>557</v>
      </c>
      <c r="C18" s="164">
        <v>0.13</v>
      </c>
      <c r="D18" s="165" t="s">
        <v>14</v>
      </c>
      <c r="E18" s="166" t="s">
        <v>602</v>
      </c>
    </row>
    <row r="19" ht="21.75" customHeight="1">
      <c r="A19" s="168"/>
      <c r="B19" s="169" t="s">
        <v>411</v>
      </c>
      <c r="C19" s="170" t="s">
        <v>14</v>
      </c>
      <c r="D19" s="171">
        <v>0.08</v>
      </c>
      <c r="E19" s="172" t="s">
        <v>603</v>
      </c>
    </row>
    <row r="20" ht="21.75" customHeight="1">
      <c r="A20" s="152" t="s">
        <v>573</v>
      </c>
      <c r="B20" s="163" t="s">
        <v>553</v>
      </c>
      <c r="C20" s="164">
        <v>0.08</v>
      </c>
      <c r="D20" s="165" t="s">
        <v>14</v>
      </c>
      <c r="E20" s="166" t="s">
        <v>604</v>
      </c>
    </row>
    <row r="21" ht="21.75" customHeight="1">
      <c r="A21" s="157" t="s">
        <v>605</v>
      </c>
      <c r="B21" s="158" t="s">
        <v>598</v>
      </c>
      <c r="C21" s="159">
        <v>0.24</v>
      </c>
      <c r="D21" s="160" t="s">
        <v>14</v>
      </c>
      <c r="E21" s="161" t="s">
        <v>606</v>
      </c>
    </row>
    <row r="22" ht="21.75" customHeight="1">
      <c r="A22" s="162"/>
      <c r="B22" s="163" t="s">
        <v>555</v>
      </c>
      <c r="C22" s="164">
        <v>0.15</v>
      </c>
      <c r="D22" s="165" t="s">
        <v>14</v>
      </c>
      <c r="E22" s="166" t="s">
        <v>578</v>
      </c>
    </row>
    <row r="23" ht="21.75" customHeight="1">
      <c r="A23" s="167"/>
      <c r="B23" s="158" t="s">
        <v>590</v>
      </c>
      <c r="C23" s="159">
        <v>0.23</v>
      </c>
      <c r="D23" s="160">
        <v>0.08</v>
      </c>
      <c r="E23" s="161" t="s">
        <v>607</v>
      </c>
    </row>
    <row r="24" ht="21.75" customHeight="1">
      <c r="A24" s="167"/>
      <c r="B24" s="163" t="s">
        <v>557</v>
      </c>
      <c r="C24" s="164">
        <v>0.03</v>
      </c>
      <c r="D24" s="165" t="s">
        <v>14</v>
      </c>
      <c r="E24" s="166" t="s">
        <v>578</v>
      </c>
    </row>
    <row r="25" ht="21.75" customHeight="1">
      <c r="A25" s="168"/>
      <c r="B25" s="169" t="s">
        <v>411</v>
      </c>
      <c r="C25" s="170">
        <v>0.1</v>
      </c>
      <c r="D25" s="171" t="s">
        <v>14</v>
      </c>
      <c r="E25" s="172" t="s">
        <v>608</v>
      </c>
    </row>
    <row r="26" ht="21.75" customHeight="1">
      <c r="A26" s="152" t="s">
        <v>573</v>
      </c>
      <c r="B26" s="153" t="s">
        <v>553</v>
      </c>
      <c r="C26" s="154">
        <v>0.12</v>
      </c>
      <c r="D26" s="155">
        <v>0.06</v>
      </c>
      <c r="E26" s="156" t="s">
        <v>609</v>
      </c>
    </row>
    <row r="27" ht="21.75" customHeight="1">
      <c r="A27" s="157" t="s">
        <v>610</v>
      </c>
      <c r="B27" s="158" t="s">
        <v>611</v>
      </c>
      <c r="C27" s="159">
        <v>0.14</v>
      </c>
      <c r="D27" s="160" t="s">
        <v>14</v>
      </c>
      <c r="E27" s="161" t="s">
        <v>612</v>
      </c>
    </row>
    <row r="28" ht="21.75" customHeight="1">
      <c r="A28" s="162"/>
      <c r="B28" s="163" t="s">
        <v>555</v>
      </c>
      <c r="C28" s="164">
        <v>0.06</v>
      </c>
      <c r="D28" s="165" t="s">
        <v>14</v>
      </c>
      <c r="E28" s="166" t="s">
        <v>578</v>
      </c>
    </row>
    <row r="29" ht="21.75" customHeight="1">
      <c r="A29" s="167"/>
      <c r="B29" s="158" t="s">
        <v>556</v>
      </c>
      <c r="C29" s="159">
        <v>0.05</v>
      </c>
      <c r="D29" s="160">
        <v>0.06</v>
      </c>
      <c r="E29" s="161" t="s">
        <v>613</v>
      </c>
    </row>
    <row r="30" ht="21.75" customHeight="1">
      <c r="A30" s="167"/>
      <c r="B30" s="163" t="s">
        <v>557</v>
      </c>
      <c r="C30" s="164">
        <v>0.04</v>
      </c>
      <c r="D30" s="165" t="s">
        <v>14</v>
      </c>
      <c r="E30" s="166" t="s">
        <v>578</v>
      </c>
    </row>
    <row r="31" ht="21.75" customHeight="1">
      <c r="A31" s="168"/>
      <c r="B31" s="169" t="s">
        <v>614</v>
      </c>
      <c r="C31" s="170">
        <v>0.45</v>
      </c>
      <c r="D31" s="171" t="s">
        <v>14</v>
      </c>
      <c r="E31" s="172" t="s">
        <v>615</v>
      </c>
    </row>
    <row r="32" ht="21.75" customHeight="1">
      <c r="A32" s="174"/>
      <c r="B32" s="163" t="s">
        <v>595</v>
      </c>
      <c r="C32" s="164" t="s">
        <v>616</v>
      </c>
      <c r="D32" s="165" t="s">
        <v>14</v>
      </c>
      <c r="E32" s="166" t="s">
        <v>617</v>
      </c>
    </row>
    <row r="33" ht="21.75" customHeight="1">
      <c r="A33" s="157" t="s">
        <v>618</v>
      </c>
      <c r="B33" s="158" t="s">
        <v>554</v>
      </c>
      <c r="C33" s="159" t="s">
        <v>14</v>
      </c>
      <c r="D33" s="160" t="s">
        <v>619</v>
      </c>
      <c r="E33" s="161" t="s">
        <v>620</v>
      </c>
    </row>
    <row r="34" ht="21.75" customHeight="1">
      <c r="A34" s="162"/>
      <c r="B34" s="163" t="s">
        <v>555</v>
      </c>
      <c r="C34" s="164">
        <v>0.12</v>
      </c>
      <c r="D34" s="165" t="s">
        <v>621</v>
      </c>
      <c r="E34" s="166" t="s">
        <v>578</v>
      </c>
    </row>
    <row r="35" ht="21.75" customHeight="1">
      <c r="A35" s="167"/>
      <c r="B35" s="158" t="s">
        <v>556</v>
      </c>
      <c r="C35" s="159" t="s">
        <v>14</v>
      </c>
      <c r="D35" s="160" t="s">
        <v>14</v>
      </c>
      <c r="E35" s="161" t="s">
        <v>622</v>
      </c>
    </row>
    <row r="36" ht="21.75" customHeight="1">
      <c r="A36" s="167"/>
      <c r="B36" s="163" t="s">
        <v>557</v>
      </c>
      <c r="C36" s="164">
        <v>0.06</v>
      </c>
      <c r="D36" s="165" t="s">
        <v>619</v>
      </c>
      <c r="E36" s="166" t="s">
        <v>578</v>
      </c>
    </row>
    <row r="37" ht="21.75" customHeight="1">
      <c r="A37" s="168"/>
      <c r="B37" s="169" t="s">
        <v>623</v>
      </c>
      <c r="C37" s="170" t="s">
        <v>14</v>
      </c>
      <c r="D37" s="171">
        <v>0.18</v>
      </c>
      <c r="E37" s="172" t="s">
        <v>624</v>
      </c>
    </row>
    <row r="38" ht="21.75" customHeight="1">
      <c r="A38" s="173"/>
      <c r="B38" s="153" t="s">
        <v>553</v>
      </c>
      <c r="C38" s="154" t="s">
        <v>14</v>
      </c>
      <c r="D38" s="155" t="s">
        <v>14</v>
      </c>
      <c r="E38" s="156" t="s">
        <v>625</v>
      </c>
    </row>
    <row r="39" ht="21.75" customHeight="1">
      <c r="A39" s="157" t="s">
        <v>626</v>
      </c>
      <c r="B39" s="158" t="s">
        <v>554</v>
      </c>
      <c r="C39" s="159" t="s">
        <v>14</v>
      </c>
      <c r="D39" s="160" t="s">
        <v>14</v>
      </c>
      <c r="E39" s="161" t="s">
        <v>627</v>
      </c>
    </row>
    <row r="40" ht="21.75" customHeight="1">
      <c r="A40" s="162"/>
      <c r="B40" s="163" t="s">
        <v>555</v>
      </c>
      <c r="C40" s="164">
        <v>0.03</v>
      </c>
      <c r="D40" s="165" t="s">
        <v>14</v>
      </c>
      <c r="E40" s="166" t="s">
        <v>578</v>
      </c>
    </row>
    <row r="41" ht="21.75" customHeight="1">
      <c r="A41" s="167"/>
      <c r="B41" s="158" t="s">
        <v>556</v>
      </c>
      <c r="C41" s="159" t="s">
        <v>14</v>
      </c>
      <c r="D41" s="160" t="s">
        <v>628</v>
      </c>
      <c r="E41" s="161" t="s">
        <v>629</v>
      </c>
    </row>
    <row r="42" ht="21.75" customHeight="1">
      <c r="A42" s="167"/>
      <c r="B42" s="163" t="s">
        <v>557</v>
      </c>
      <c r="C42" s="164">
        <v>0.15</v>
      </c>
      <c r="D42" s="165" t="s">
        <v>14</v>
      </c>
      <c r="E42" s="166" t="s">
        <v>578</v>
      </c>
    </row>
    <row r="43" ht="21.75" customHeight="1">
      <c r="A43" s="168"/>
      <c r="B43" s="169" t="s">
        <v>623</v>
      </c>
      <c r="C43" s="170">
        <v>0.27</v>
      </c>
      <c r="D43" s="171" t="s">
        <v>14</v>
      </c>
      <c r="E43" s="172" t="s">
        <v>630</v>
      </c>
    </row>
    <row r="44" ht="21.75" customHeight="1">
      <c r="A44" s="173"/>
      <c r="B44" s="163" t="s">
        <v>553</v>
      </c>
      <c r="C44" s="164" t="s">
        <v>14</v>
      </c>
      <c r="D44" s="165" t="s">
        <v>631</v>
      </c>
      <c r="E44" s="166" t="s">
        <v>632</v>
      </c>
    </row>
    <row r="45" ht="21.75" customHeight="1">
      <c r="A45" s="157" t="s">
        <v>633</v>
      </c>
      <c r="B45" s="158" t="s">
        <v>598</v>
      </c>
      <c r="C45" s="159" t="s">
        <v>14</v>
      </c>
      <c r="D45" s="160" t="s">
        <v>14</v>
      </c>
      <c r="E45" s="161" t="s">
        <v>634</v>
      </c>
    </row>
    <row r="46" ht="21.75" customHeight="1">
      <c r="A46" s="162"/>
      <c r="B46" s="163" t="s">
        <v>555</v>
      </c>
      <c r="C46" s="164">
        <v>0.01</v>
      </c>
      <c r="D46" s="165" t="s">
        <v>635</v>
      </c>
      <c r="E46" s="166" t="s">
        <v>636</v>
      </c>
    </row>
    <row r="47" ht="21.75" customHeight="1">
      <c r="A47" s="167"/>
      <c r="B47" s="158" t="s">
        <v>556</v>
      </c>
      <c r="C47" s="159" t="s">
        <v>14</v>
      </c>
      <c r="D47" s="160" t="s">
        <v>637</v>
      </c>
      <c r="E47" s="161" t="s">
        <v>638</v>
      </c>
    </row>
    <row r="48" ht="21.75" customHeight="1">
      <c r="A48" s="167"/>
      <c r="B48" s="163" t="s">
        <v>557</v>
      </c>
      <c r="C48" s="164">
        <v>0.15</v>
      </c>
      <c r="D48" s="165" t="s">
        <v>14</v>
      </c>
      <c r="E48" s="166" t="s">
        <v>578</v>
      </c>
    </row>
    <row r="49" ht="21.75" customHeight="1">
      <c r="A49" s="168"/>
      <c r="B49" s="169" t="s">
        <v>592</v>
      </c>
      <c r="C49" s="170">
        <v>0.51</v>
      </c>
      <c r="D49" s="171" t="s">
        <v>14</v>
      </c>
      <c r="E49" s="172" t="s">
        <v>639</v>
      </c>
    </row>
    <row r="50" ht="21.75" customHeight="1">
      <c r="A50" s="173"/>
      <c r="B50" s="153" t="s">
        <v>553</v>
      </c>
      <c r="C50" s="154" t="s">
        <v>14</v>
      </c>
      <c r="D50" s="155" t="s">
        <v>640</v>
      </c>
      <c r="E50" s="156" t="s">
        <v>641</v>
      </c>
    </row>
    <row r="51" ht="21.75" customHeight="1">
      <c r="A51" s="157" t="s">
        <v>642</v>
      </c>
      <c r="B51" s="158" t="s">
        <v>554</v>
      </c>
      <c r="C51" s="159" t="s">
        <v>14</v>
      </c>
      <c r="D51" s="160">
        <v>0.04</v>
      </c>
      <c r="E51" s="161" t="s">
        <v>643</v>
      </c>
    </row>
    <row r="52" ht="21.75" customHeight="1">
      <c r="A52" s="162"/>
      <c r="B52" s="163" t="s">
        <v>555</v>
      </c>
      <c r="C52" s="164" t="s">
        <v>14</v>
      </c>
      <c r="D52" s="165" t="s">
        <v>644</v>
      </c>
      <c r="E52" s="166" t="s">
        <v>645</v>
      </c>
    </row>
    <row r="53" ht="21.75" customHeight="1">
      <c r="A53" s="167"/>
      <c r="B53" s="158" t="s">
        <v>590</v>
      </c>
      <c r="C53" s="159" t="s">
        <v>14</v>
      </c>
      <c r="D53" s="160" t="s">
        <v>616</v>
      </c>
      <c r="E53" s="161" t="s">
        <v>646</v>
      </c>
    </row>
    <row r="54" ht="21.75" customHeight="1">
      <c r="A54" s="167"/>
      <c r="B54" s="163" t="s">
        <v>557</v>
      </c>
      <c r="C54" s="164">
        <v>0.01</v>
      </c>
      <c r="D54" s="165" t="s">
        <v>14</v>
      </c>
      <c r="E54" s="166" t="s">
        <v>647</v>
      </c>
    </row>
    <row r="55" ht="21.75" customHeight="1">
      <c r="A55" s="168"/>
      <c r="B55" s="169" t="s">
        <v>592</v>
      </c>
      <c r="C55" s="170" t="s">
        <v>14</v>
      </c>
      <c r="D55" s="171">
        <v>0.17</v>
      </c>
      <c r="E55" s="172" t="s">
        <v>648</v>
      </c>
    </row>
    <row r="56" ht="21.75" customHeight="1">
      <c r="A56" s="173"/>
      <c r="B56" s="163" t="s">
        <v>553</v>
      </c>
      <c r="C56" s="164" t="s">
        <v>14</v>
      </c>
      <c r="D56" s="165" t="s">
        <v>14</v>
      </c>
      <c r="E56" s="166" t="s">
        <v>649</v>
      </c>
    </row>
    <row r="57" ht="21.75" customHeight="1">
      <c r="A57" s="157" t="s">
        <v>650</v>
      </c>
      <c r="B57" s="158" t="s">
        <v>554</v>
      </c>
      <c r="C57" s="159">
        <v>0.2</v>
      </c>
      <c r="D57" s="160" t="s">
        <v>14</v>
      </c>
      <c r="E57" s="161" t="s">
        <v>651</v>
      </c>
    </row>
    <row r="58" ht="21.75" customHeight="1">
      <c r="A58" s="162"/>
      <c r="B58" s="163" t="s">
        <v>555</v>
      </c>
      <c r="C58" s="164">
        <v>0.02</v>
      </c>
      <c r="D58" s="165" t="s">
        <v>14</v>
      </c>
      <c r="E58" s="166" t="s">
        <v>578</v>
      </c>
    </row>
    <row r="59" ht="21.75" customHeight="1">
      <c r="A59" s="167"/>
      <c r="B59" s="158" t="s">
        <v>556</v>
      </c>
      <c r="C59" s="159" t="s">
        <v>652</v>
      </c>
      <c r="D59" s="160" t="s">
        <v>14</v>
      </c>
      <c r="E59" s="161" t="s">
        <v>653</v>
      </c>
    </row>
    <row r="60" ht="21.75" customHeight="1">
      <c r="A60" s="167"/>
      <c r="B60" s="163" t="s">
        <v>557</v>
      </c>
      <c r="C60" s="164">
        <v>0.2</v>
      </c>
      <c r="D60" s="165" t="s">
        <v>14</v>
      </c>
      <c r="E60" s="166" t="s">
        <v>578</v>
      </c>
    </row>
    <row r="61" ht="21.75" customHeight="1">
      <c r="A61" s="168"/>
      <c r="B61" s="169" t="s">
        <v>411</v>
      </c>
      <c r="C61" s="170" t="s">
        <v>14</v>
      </c>
      <c r="D61" s="171">
        <v>0.07</v>
      </c>
      <c r="E61" s="172" t="s">
        <v>654</v>
      </c>
    </row>
    <row r="62" ht="21.75" customHeight="1">
      <c r="A62" s="152" t="s">
        <v>573</v>
      </c>
      <c r="B62" s="153" t="s">
        <v>553</v>
      </c>
      <c r="C62" s="154" t="s">
        <v>14</v>
      </c>
      <c r="D62" s="155">
        <v>0.16</v>
      </c>
      <c r="E62" s="156" t="s">
        <v>655</v>
      </c>
    </row>
    <row r="63" ht="21.75" customHeight="1">
      <c r="A63" s="157" t="s">
        <v>656</v>
      </c>
      <c r="B63" s="158" t="s">
        <v>598</v>
      </c>
      <c r="C63" s="159">
        <v>0.09</v>
      </c>
      <c r="D63" s="160">
        <v>0.35</v>
      </c>
      <c r="E63" s="161" t="s">
        <v>657</v>
      </c>
    </row>
    <row r="64" ht="21.75" customHeight="1">
      <c r="A64" s="162"/>
      <c r="B64" s="163" t="s">
        <v>555</v>
      </c>
      <c r="C64" s="164">
        <v>0.02</v>
      </c>
      <c r="D64" s="165" t="s">
        <v>593</v>
      </c>
      <c r="E64" s="166" t="s">
        <v>578</v>
      </c>
    </row>
    <row r="65" ht="21.75" customHeight="1">
      <c r="A65" s="167"/>
      <c r="B65" s="158" t="s">
        <v>556</v>
      </c>
      <c r="C65" s="159">
        <v>0.63</v>
      </c>
      <c r="D65" s="160" t="s">
        <v>14</v>
      </c>
      <c r="E65" s="161" t="s">
        <v>658</v>
      </c>
    </row>
    <row r="66" ht="21.75" customHeight="1">
      <c r="A66" s="167"/>
      <c r="B66" s="163" t="s">
        <v>557</v>
      </c>
      <c r="C66" s="164">
        <v>0.07</v>
      </c>
      <c r="D66" s="165" t="s">
        <v>14</v>
      </c>
      <c r="E66" s="166" t="s">
        <v>578</v>
      </c>
    </row>
    <row r="67" ht="21.75" customHeight="1">
      <c r="A67" s="168"/>
      <c r="B67" s="169" t="s">
        <v>659</v>
      </c>
      <c r="C67" s="170">
        <v>0.36</v>
      </c>
      <c r="D67" s="171">
        <v>0.18</v>
      </c>
      <c r="E67" s="172" t="s">
        <v>660</v>
      </c>
    </row>
    <row r="68" ht="21.75" customHeight="1">
      <c r="A68" s="152" t="s">
        <v>573</v>
      </c>
      <c r="B68" s="163" t="s">
        <v>553</v>
      </c>
      <c r="C68" s="164">
        <v>0.055</v>
      </c>
      <c r="D68" s="155" t="s">
        <v>14</v>
      </c>
      <c r="E68" s="166" t="s">
        <v>661</v>
      </c>
    </row>
    <row r="69" ht="21.75" customHeight="1">
      <c r="A69" s="157" t="s">
        <v>662</v>
      </c>
      <c r="B69" s="158" t="s">
        <v>554</v>
      </c>
      <c r="C69" s="159" t="s">
        <v>663</v>
      </c>
      <c r="D69" s="160" t="s">
        <v>14</v>
      </c>
      <c r="E69" s="161" t="s">
        <v>664</v>
      </c>
    </row>
    <row r="70" ht="21.75" customHeight="1">
      <c r="A70" s="162"/>
      <c r="B70" s="163" t="s">
        <v>555</v>
      </c>
      <c r="C70" s="164">
        <v>0.055</v>
      </c>
      <c r="D70" s="165" t="s">
        <v>14</v>
      </c>
      <c r="E70" s="166" t="s">
        <v>578</v>
      </c>
    </row>
    <row r="71" ht="21.75" customHeight="1">
      <c r="A71" s="167"/>
      <c r="B71" s="158" t="s">
        <v>556</v>
      </c>
      <c r="C71" s="159">
        <v>0.07</v>
      </c>
      <c r="D71" s="160" t="s">
        <v>14</v>
      </c>
      <c r="E71" s="161" t="s">
        <v>665</v>
      </c>
    </row>
    <row r="72" ht="21.75" customHeight="1">
      <c r="A72" s="167"/>
      <c r="B72" s="163" t="s">
        <v>557</v>
      </c>
      <c r="C72" s="164">
        <v>0.12</v>
      </c>
      <c r="D72" s="165" t="s">
        <v>14</v>
      </c>
      <c r="E72" s="166" t="s">
        <v>578</v>
      </c>
    </row>
    <row r="73" ht="21.75" customHeight="1">
      <c r="A73" s="168"/>
      <c r="B73" s="169" t="s">
        <v>411</v>
      </c>
      <c r="C73" s="170">
        <v>0.12</v>
      </c>
      <c r="D73" s="171" t="s">
        <v>14</v>
      </c>
      <c r="E73" s="172" t="s">
        <v>666</v>
      </c>
    </row>
    <row r="74" ht="21.75" customHeight="1">
      <c r="A74" s="152" t="s">
        <v>573</v>
      </c>
      <c r="B74" s="153" t="s">
        <v>553</v>
      </c>
      <c r="C74" s="154" t="s">
        <v>667</v>
      </c>
      <c r="D74" s="155" t="s">
        <v>14</v>
      </c>
      <c r="E74" s="156" t="s">
        <v>668</v>
      </c>
    </row>
    <row r="75" ht="21.75" customHeight="1">
      <c r="A75" s="157" t="s">
        <v>669</v>
      </c>
      <c r="B75" s="158" t="s">
        <v>554</v>
      </c>
      <c r="C75" s="159" t="s">
        <v>14</v>
      </c>
      <c r="D75" s="160" t="s">
        <v>14</v>
      </c>
      <c r="E75" s="161" t="s">
        <v>670</v>
      </c>
    </row>
    <row r="76" ht="21.75" customHeight="1">
      <c r="A76" s="162"/>
      <c r="B76" s="163" t="s">
        <v>555</v>
      </c>
      <c r="C76" s="164">
        <v>0.09</v>
      </c>
      <c r="D76" s="165" t="s">
        <v>671</v>
      </c>
      <c r="E76" s="166" t="s">
        <v>578</v>
      </c>
    </row>
    <row r="77" ht="21.75" customHeight="1">
      <c r="A77" s="167"/>
      <c r="B77" s="158" t="s">
        <v>556</v>
      </c>
      <c r="C77" s="159" t="s">
        <v>14</v>
      </c>
      <c r="D77" s="160" t="s">
        <v>14</v>
      </c>
      <c r="E77" s="161" t="s">
        <v>672</v>
      </c>
    </row>
    <row r="78" ht="21.75" customHeight="1">
      <c r="A78" s="167"/>
      <c r="B78" s="163" t="s">
        <v>557</v>
      </c>
      <c r="C78" s="164">
        <v>0.09</v>
      </c>
      <c r="D78" s="165" t="s">
        <v>673</v>
      </c>
      <c r="E78" s="166" t="s">
        <v>578</v>
      </c>
    </row>
    <row r="79" ht="21.75" customHeight="1">
      <c r="A79" s="168"/>
      <c r="B79" s="169" t="s">
        <v>411</v>
      </c>
      <c r="C79" s="170" t="s">
        <v>14</v>
      </c>
      <c r="D79" s="171" t="s">
        <v>14</v>
      </c>
      <c r="E79" s="172" t="s">
        <v>674</v>
      </c>
    </row>
    <row r="80" ht="21.75" customHeight="1">
      <c r="A80" s="174"/>
      <c r="B80" s="163" t="s">
        <v>553</v>
      </c>
      <c r="C80" s="164" t="s">
        <v>14</v>
      </c>
      <c r="D80" s="165" t="s">
        <v>14</v>
      </c>
      <c r="E80" s="166" t="s">
        <v>675</v>
      </c>
    </row>
    <row r="81" ht="21.75" customHeight="1">
      <c r="A81" s="157" t="s">
        <v>676</v>
      </c>
      <c r="B81" s="158" t="s">
        <v>677</v>
      </c>
      <c r="C81" s="159" t="s">
        <v>14</v>
      </c>
      <c r="D81" s="160" t="s">
        <v>14</v>
      </c>
      <c r="E81" s="161" t="s">
        <v>678</v>
      </c>
    </row>
    <row r="82" ht="21.75" customHeight="1">
      <c r="A82" s="162"/>
      <c r="B82" s="163" t="s">
        <v>555</v>
      </c>
      <c r="C82" s="164">
        <v>0.08</v>
      </c>
      <c r="D82" s="165" t="s">
        <v>14</v>
      </c>
      <c r="E82" s="166" t="s">
        <v>578</v>
      </c>
    </row>
    <row r="83" ht="21.75" customHeight="1">
      <c r="A83" s="167"/>
      <c r="B83" s="158" t="s">
        <v>556</v>
      </c>
      <c r="C83" s="159" t="s">
        <v>679</v>
      </c>
      <c r="D83" s="160" t="s">
        <v>14</v>
      </c>
      <c r="E83" s="161" t="s">
        <v>680</v>
      </c>
    </row>
    <row r="84" ht="21.75" customHeight="1">
      <c r="A84" s="167"/>
      <c r="B84" s="163" t="s">
        <v>557</v>
      </c>
      <c r="C84" s="164">
        <v>0.1</v>
      </c>
      <c r="D84" s="165" t="s">
        <v>14</v>
      </c>
      <c r="E84" s="166" t="s">
        <v>578</v>
      </c>
    </row>
    <row r="85" ht="21.75" customHeight="1">
      <c r="A85" s="168"/>
      <c r="B85" s="169" t="s">
        <v>411</v>
      </c>
      <c r="C85" s="170">
        <v>0.24</v>
      </c>
      <c r="D85" s="171" t="s">
        <v>14</v>
      </c>
      <c r="E85" s="172" t="s">
        <v>681</v>
      </c>
    </row>
    <row r="86" ht="21.75" customHeight="1">
      <c r="A86" s="174"/>
      <c r="B86" s="153" t="s">
        <v>553</v>
      </c>
      <c r="C86" s="154" t="s">
        <v>14</v>
      </c>
      <c r="D86" s="155" t="s">
        <v>14</v>
      </c>
      <c r="E86" s="156" t="s">
        <v>682</v>
      </c>
    </row>
    <row r="87" ht="21.75" customHeight="1">
      <c r="A87" s="157" t="s">
        <v>683</v>
      </c>
      <c r="B87" s="158" t="s">
        <v>554</v>
      </c>
      <c r="C87" s="159" t="s">
        <v>14</v>
      </c>
      <c r="D87" s="160" t="s">
        <v>14</v>
      </c>
      <c r="E87" s="161" t="s">
        <v>684</v>
      </c>
    </row>
    <row r="88" ht="21.75" customHeight="1">
      <c r="A88" s="162"/>
      <c r="B88" s="163" t="s">
        <v>555</v>
      </c>
      <c r="C88" s="164" t="s">
        <v>14</v>
      </c>
      <c r="D88" s="165" t="s">
        <v>14</v>
      </c>
      <c r="E88" s="166" t="s">
        <v>685</v>
      </c>
    </row>
    <row r="89" ht="21.75" customHeight="1">
      <c r="A89" s="167"/>
      <c r="B89" s="158" t="s">
        <v>556</v>
      </c>
      <c r="C89" s="159" t="s">
        <v>14</v>
      </c>
      <c r="D89" s="160" t="s">
        <v>14</v>
      </c>
      <c r="E89" s="161" t="s">
        <v>686</v>
      </c>
    </row>
    <row r="90" ht="21.75" customHeight="1">
      <c r="A90" s="167"/>
      <c r="B90" s="163" t="s">
        <v>557</v>
      </c>
      <c r="C90" s="164" t="s">
        <v>14</v>
      </c>
      <c r="D90" s="165" t="s">
        <v>14</v>
      </c>
      <c r="E90" s="166" t="s">
        <v>687</v>
      </c>
    </row>
    <row r="91" ht="21.75" customHeight="1">
      <c r="A91" s="168"/>
      <c r="B91" s="169" t="s">
        <v>411</v>
      </c>
      <c r="C91" s="170" t="s">
        <v>14</v>
      </c>
      <c r="D91" s="171" t="s">
        <v>14</v>
      </c>
      <c r="E91" s="172" t="s">
        <v>688</v>
      </c>
    </row>
    <row r="92" ht="21.75" customHeight="1">
      <c r="A92" s="152" t="s">
        <v>573</v>
      </c>
      <c r="B92" s="163" t="s">
        <v>553</v>
      </c>
      <c r="C92" s="164">
        <v>0.12</v>
      </c>
      <c r="D92" s="165" t="s">
        <v>14</v>
      </c>
      <c r="E92" s="166" t="s">
        <v>689</v>
      </c>
    </row>
    <row r="93" ht="21.75" customHeight="1">
      <c r="A93" s="157" t="s">
        <v>690</v>
      </c>
      <c r="B93" s="158" t="s">
        <v>554</v>
      </c>
      <c r="C93" s="159" t="s">
        <v>14</v>
      </c>
      <c r="D93" s="160" t="s">
        <v>14</v>
      </c>
      <c r="E93" s="161" t="s">
        <v>691</v>
      </c>
    </row>
    <row r="94" ht="21.75" customHeight="1">
      <c r="A94" s="162"/>
      <c r="B94" s="163" t="s">
        <v>555</v>
      </c>
      <c r="C94" s="164">
        <v>0.17</v>
      </c>
      <c r="D94" s="165" t="s">
        <v>14</v>
      </c>
      <c r="E94" s="166" t="s">
        <v>578</v>
      </c>
    </row>
    <row r="95" ht="21.75" customHeight="1">
      <c r="A95" s="167"/>
      <c r="B95" s="158" t="s">
        <v>556</v>
      </c>
      <c r="C95" s="159">
        <v>0.035</v>
      </c>
      <c r="D95" s="160" t="s">
        <v>14</v>
      </c>
      <c r="E95" s="161" t="s">
        <v>692</v>
      </c>
    </row>
    <row r="96" ht="21.75" customHeight="1">
      <c r="A96" s="167"/>
      <c r="B96" s="163" t="s">
        <v>557</v>
      </c>
      <c r="C96" s="164">
        <v>0.01</v>
      </c>
      <c r="D96" s="165" t="s">
        <v>14</v>
      </c>
      <c r="E96" s="166" t="s">
        <v>578</v>
      </c>
    </row>
    <row r="97" ht="21.75" customHeight="1">
      <c r="A97" s="168"/>
      <c r="B97" s="169" t="s">
        <v>581</v>
      </c>
      <c r="C97" s="170">
        <v>0.43</v>
      </c>
      <c r="D97" s="171" t="s">
        <v>14</v>
      </c>
      <c r="E97" s="172" t="s">
        <v>693</v>
      </c>
    </row>
    <row r="98" ht="21.75" customHeight="1">
      <c r="A98" s="152" t="s">
        <v>573</v>
      </c>
      <c r="B98" s="153" t="s">
        <v>694</v>
      </c>
      <c r="C98" s="154">
        <v>0.19</v>
      </c>
      <c r="D98" s="155" t="s">
        <v>695</v>
      </c>
      <c r="E98" s="156" t="s">
        <v>696</v>
      </c>
    </row>
    <row r="99" ht="21.75" customHeight="1">
      <c r="A99" s="157" t="s">
        <v>697</v>
      </c>
      <c r="B99" s="158" t="s">
        <v>554</v>
      </c>
      <c r="C99" s="159" t="s">
        <v>14</v>
      </c>
      <c r="D99" s="160">
        <v>0.12</v>
      </c>
      <c r="E99" s="161" t="s">
        <v>698</v>
      </c>
    </row>
    <row r="100" ht="21.75" customHeight="1">
      <c r="A100" s="162"/>
      <c r="B100" s="163" t="s">
        <v>555</v>
      </c>
      <c r="C100" s="164">
        <v>0.19</v>
      </c>
      <c r="D100" s="165" t="s">
        <v>14</v>
      </c>
      <c r="E100" s="166" t="s">
        <v>578</v>
      </c>
    </row>
    <row r="101" ht="21.75" customHeight="1">
      <c r="A101" s="167"/>
      <c r="B101" s="158" t="s">
        <v>590</v>
      </c>
      <c r="C101" s="159" t="s">
        <v>14</v>
      </c>
      <c r="D101" s="160" t="s">
        <v>393</v>
      </c>
      <c r="E101" s="161" t="s">
        <v>699</v>
      </c>
    </row>
    <row r="102" ht="21.75" customHeight="1">
      <c r="A102" s="167"/>
      <c r="B102" s="163" t="s">
        <v>557</v>
      </c>
      <c r="C102" s="164">
        <v>0.03</v>
      </c>
      <c r="D102" s="165" t="s">
        <v>700</v>
      </c>
      <c r="E102" s="166" t="s">
        <v>701</v>
      </c>
    </row>
    <row r="103" ht="21.75" customHeight="1">
      <c r="A103" s="168"/>
      <c r="B103" s="169" t="s">
        <v>581</v>
      </c>
      <c r="C103" s="170">
        <v>0.69</v>
      </c>
      <c r="D103" s="171" t="s">
        <v>14</v>
      </c>
      <c r="E103" s="172" t="s">
        <v>702</v>
      </c>
    </row>
    <row r="104" ht="21.75" customHeight="1">
      <c r="A104" s="152" t="s">
        <v>573</v>
      </c>
      <c r="B104" s="163" t="s">
        <v>553</v>
      </c>
      <c r="C104" s="164">
        <v>0.18</v>
      </c>
      <c r="D104" s="165" t="s">
        <v>14</v>
      </c>
      <c r="E104" s="166" t="s">
        <v>703</v>
      </c>
    </row>
    <row r="105" ht="21.75" customHeight="1">
      <c r="A105" s="157" t="s">
        <v>704</v>
      </c>
      <c r="B105" s="158" t="s">
        <v>598</v>
      </c>
      <c r="C105" s="159">
        <v>0.28</v>
      </c>
      <c r="D105" s="160" t="s">
        <v>14</v>
      </c>
      <c r="E105" s="161" t="s">
        <v>705</v>
      </c>
    </row>
    <row r="106" ht="21.75" customHeight="1">
      <c r="A106" s="162"/>
      <c r="B106" s="163" t="s">
        <v>555</v>
      </c>
      <c r="C106" s="164">
        <v>0.14</v>
      </c>
      <c r="D106" s="165" t="s">
        <v>14</v>
      </c>
      <c r="E106" s="166" t="s">
        <v>578</v>
      </c>
    </row>
    <row r="107" ht="21.75" customHeight="1">
      <c r="A107" s="167"/>
      <c r="B107" s="158" t="s">
        <v>590</v>
      </c>
      <c r="C107" s="159">
        <v>0.26</v>
      </c>
      <c r="D107" s="160" t="s">
        <v>14</v>
      </c>
      <c r="E107" s="161" t="s">
        <v>706</v>
      </c>
    </row>
    <row r="108" ht="21.75" customHeight="1">
      <c r="A108" s="167"/>
      <c r="B108" s="163" t="s">
        <v>557</v>
      </c>
      <c r="C108" s="164">
        <v>0.11</v>
      </c>
      <c r="D108" s="165" t="s">
        <v>14</v>
      </c>
      <c r="E108" s="166" t="s">
        <v>578</v>
      </c>
    </row>
    <row r="109" ht="21.75" customHeight="1">
      <c r="A109" s="168"/>
      <c r="B109" s="169" t="s">
        <v>581</v>
      </c>
      <c r="C109" s="170">
        <v>0.61</v>
      </c>
      <c r="D109" s="171" t="s">
        <v>14</v>
      </c>
      <c r="E109" s="172" t="s">
        <v>707</v>
      </c>
    </row>
    <row r="110" ht="21.75" customHeight="1">
      <c r="A110" s="175" t="s">
        <v>573</v>
      </c>
      <c r="B110" s="163" t="s">
        <v>708</v>
      </c>
      <c r="C110" s="164">
        <v>0.23</v>
      </c>
      <c r="D110" s="165" t="s">
        <v>14</v>
      </c>
      <c r="E110" s="166" t="s">
        <v>709</v>
      </c>
    </row>
    <row r="111" ht="21.75" customHeight="1">
      <c r="A111" s="176" t="s">
        <v>710</v>
      </c>
      <c r="B111" s="177" t="s">
        <v>611</v>
      </c>
      <c r="C111" s="178">
        <v>0.16</v>
      </c>
      <c r="D111" s="179" t="s">
        <v>14</v>
      </c>
      <c r="E111" s="180" t="s">
        <v>711</v>
      </c>
    </row>
    <row r="112" ht="21.75" customHeight="1">
      <c r="A112" s="181"/>
      <c r="B112" s="163" t="s">
        <v>555</v>
      </c>
      <c r="C112" s="164">
        <v>0.17</v>
      </c>
      <c r="D112" s="165" t="s">
        <v>14</v>
      </c>
      <c r="E112" s="166" t="s">
        <v>712</v>
      </c>
    </row>
    <row r="113" ht="21.75" customHeight="1">
      <c r="A113" s="167"/>
      <c r="B113" s="177" t="s">
        <v>556</v>
      </c>
      <c r="C113" s="178" t="s">
        <v>616</v>
      </c>
      <c r="D113" s="179" t="s">
        <v>14</v>
      </c>
      <c r="E113" s="180" t="s">
        <v>713</v>
      </c>
    </row>
    <row r="114" ht="21.75" customHeight="1">
      <c r="A114" s="167"/>
      <c r="B114" s="163" t="s">
        <v>557</v>
      </c>
      <c r="C114" s="164">
        <v>0.02</v>
      </c>
      <c r="D114" s="165" t="s">
        <v>14</v>
      </c>
      <c r="E114" s="166" t="s">
        <v>578</v>
      </c>
    </row>
    <row r="115" ht="21.75" customHeight="1">
      <c r="A115" s="182"/>
      <c r="B115" s="183" t="s">
        <v>581</v>
      </c>
      <c r="C115" s="184">
        <v>0.73</v>
      </c>
      <c r="D115" s="185" t="s">
        <v>14</v>
      </c>
      <c r="E115" s="186" t="s">
        <v>714</v>
      </c>
    </row>
    <row r="116" ht="21.75" customHeight="1">
      <c r="A116" s="187"/>
      <c r="B116" s="163" t="s">
        <v>715</v>
      </c>
      <c r="C116" s="164">
        <v>0.04</v>
      </c>
      <c r="D116" s="165">
        <v>0.05</v>
      </c>
      <c r="E116" s="166" t="s">
        <v>716</v>
      </c>
    </row>
    <row r="117" ht="21.75" customHeight="1">
      <c r="A117" s="176" t="s">
        <v>717</v>
      </c>
      <c r="B117" s="177" t="s">
        <v>554</v>
      </c>
      <c r="C117" s="178" t="s">
        <v>14</v>
      </c>
      <c r="D117" s="179" t="s">
        <v>14</v>
      </c>
      <c r="E117" s="180" t="s">
        <v>718</v>
      </c>
    </row>
    <row r="118" ht="21.75" customHeight="1">
      <c r="A118" s="181"/>
      <c r="B118" s="163" t="s">
        <v>555</v>
      </c>
      <c r="C118" s="164">
        <v>0.05</v>
      </c>
      <c r="D118" s="165" t="s">
        <v>14</v>
      </c>
      <c r="E118" s="166" t="s">
        <v>578</v>
      </c>
    </row>
    <row r="119" ht="21.75" customHeight="1">
      <c r="A119" s="167"/>
      <c r="B119" s="177" t="s">
        <v>556</v>
      </c>
      <c r="C119" s="178" t="s">
        <v>14</v>
      </c>
      <c r="D119" s="179" t="s">
        <v>14</v>
      </c>
      <c r="E119" s="180" t="s">
        <v>719</v>
      </c>
    </row>
    <row r="120" ht="21.75" customHeight="1">
      <c r="A120" s="167"/>
      <c r="B120" s="163" t="s">
        <v>720</v>
      </c>
      <c r="C120" s="164">
        <v>0.19</v>
      </c>
      <c r="D120" s="165">
        <v>0.045</v>
      </c>
      <c r="E120" s="166" t="s">
        <v>721</v>
      </c>
    </row>
    <row r="121" ht="21.75" customHeight="1">
      <c r="A121" s="188"/>
      <c r="B121" s="183" t="s">
        <v>659</v>
      </c>
      <c r="C121" s="184">
        <v>0.32</v>
      </c>
      <c r="D121" s="185">
        <v>0.07</v>
      </c>
      <c r="E121" s="186" t="s">
        <v>722</v>
      </c>
    </row>
    <row r="122" ht="21.75" customHeight="1">
      <c r="A122" s="175" t="s">
        <v>573</v>
      </c>
      <c r="B122" s="163" t="s">
        <v>553</v>
      </c>
      <c r="C122" s="164" t="s">
        <v>14</v>
      </c>
      <c r="D122" s="165" t="s">
        <v>723</v>
      </c>
      <c r="E122" s="166" t="s">
        <v>724</v>
      </c>
    </row>
    <row r="123" ht="21.75" customHeight="1">
      <c r="A123" s="176" t="s">
        <v>725</v>
      </c>
      <c r="B123" s="177" t="s">
        <v>726</v>
      </c>
      <c r="C123" s="178">
        <v>0.21</v>
      </c>
      <c r="D123" s="179" t="s">
        <v>14</v>
      </c>
      <c r="E123" s="180" t="s">
        <v>727</v>
      </c>
    </row>
    <row r="124" ht="21.75" customHeight="1">
      <c r="A124" s="181"/>
      <c r="B124" s="163" t="s">
        <v>555</v>
      </c>
      <c r="C124" s="164">
        <v>0.12</v>
      </c>
      <c r="D124" s="165" t="s">
        <v>14</v>
      </c>
      <c r="E124" s="166" t="s">
        <v>578</v>
      </c>
    </row>
    <row r="125" ht="21.75" customHeight="1">
      <c r="A125" s="167"/>
      <c r="B125" s="177" t="s">
        <v>556</v>
      </c>
      <c r="C125" s="178">
        <v>0.06</v>
      </c>
      <c r="D125" s="179" t="s">
        <v>14</v>
      </c>
      <c r="E125" s="180" t="s">
        <v>728</v>
      </c>
    </row>
    <row r="126" ht="21.75" customHeight="1">
      <c r="A126" s="167"/>
      <c r="B126" s="163" t="s">
        <v>557</v>
      </c>
      <c r="C126" s="164">
        <v>0.11</v>
      </c>
      <c r="D126" s="165" t="s">
        <v>14</v>
      </c>
      <c r="E126" s="166" t="s">
        <v>578</v>
      </c>
    </row>
    <row r="127" ht="21.75" customHeight="1">
      <c r="A127" s="182"/>
      <c r="B127" s="183" t="s">
        <v>614</v>
      </c>
      <c r="C127" s="184" t="s">
        <v>14</v>
      </c>
      <c r="D127" s="185" t="s">
        <v>14</v>
      </c>
      <c r="E127" s="186" t="s">
        <v>729</v>
      </c>
    </row>
    <row r="128" ht="21.75" customHeight="1">
      <c r="A128" s="175" t="s">
        <v>573</v>
      </c>
      <c r="B128" s="163" t="s">
        <v>553</v>
      </c>
      <c r="C128" s="164">
        <v>0.04</v>
      </c>
      <c r="D128" s="165" t="s">
        <v>14</v>
      </c>
      <c r="E128" s="166" t="s">
        <v>730</v>
      </c>
    </row>
    <row r="129" ht="21.75" customHeight="1">
      <c r="A129" s="176" t="s">
        <v>731</v>
      </c>
      <c r="B129" s="177" t="s">
        <v>554</v>
      </c>
      <c r="C129" s="178">
        <v>0.07</v>
      </c>
      <c r="D129" s="179" t="s">
        <v>14</v>
      </c>
      <c r="E129" s="180" t="s">
        <v>732</v>
      </c>
    </row>
    <row r="130" ht="21.75" customHeight="1">
      <c r="A130" s="181"/>
      <c r="B130" s="163" t="s">
        <v>555</v>
      </c>
      <c r="C130" s="164">
        <v>0.05</v>
      </c>
      <c r="D130" s="165" t="s">
        <v>14</v>
      </c>
      <c r="E130" s="166" t="s">
        <v>578</v>
      </c>
    </row>
    <row r="131" ht="21.75" customHeight="1">
      <c r="A131" s="167"/>
      <c r="B131" s="177" t="s">
        <v>579</v>
      </c>
      <c r="C131" s="178">
        <v>0.05</v>
      </c>
      <c r="D131" s="179" t="s">
        <v>14</v>
      </c>
      <c r="E131" s="180" t="s">
        <v>733</v>
      </c>
    </row>
    <row r="132" ht="21.75" customHeight="1">
      <c r="A132" s="167"/>
      <c r="B132" s="163" t="s">
        <v>557</v>
      </c>
      <c r="C132" s="164">
        <v>0.06</v>
      </c>
      <c r="D132" s="165" t="s">
        <v>14</v>
      </c>
      <c r="E132" s="166" t="s">
        <v>578</v>
      </c>
    </row>
    <row r="133" ht="21.75" customHeight="1">
      <c r="A133" s="188"/>
      <c r="B133" s="183" t="s">
        <v>614</v>
      </c>
      <c r="C133" s="184">
        <v>0.13</v>
      </c>
      <c r="D133" s="185" t="s">
        <v>14</v>
      </c>
      <c r="E133" s="186" t="s">
        <v>734</v>
      </c>
    </row>
    <row r="134" ht="21.75" customHeight="1">
      <c r="A134" s="175" t="s">
        <v>573</v>
      </c>
      <c r="B134" s="163" t="s">
        <v>735</v>
      </c>
      <c r="C134" s="164">
        <v>0.3</v>
      </c>
      <c r="D134" s="165" t="s">
        <v>14</v>
      </c>
      <c r="E134" s="166" t="s">
        <v>736</v>
      </c>
    </row>
    <row r="135" ht="21.75" customHeight="1">
      <c r="A135" s="176" t="s">
        <v>737</v>
      </c>
      <c r="B135" s="177" t="s">
        <v>611</v>
      </c>
      <c r="C135" s="178">
        <v>0.11</v>
      </c>
      <c r="D135" s="179" t="s">
        <v>14</v>
      </c>
      <c r="E135" s="180" t="s">
        <v>738</v>
      </c>
    </row>
    <row r="136" ht="21.75" customHeight="1">
      <c r="A136" s="181"/>
      <c r="B136" s="163" t="s">
        <v>555</v>
      </c>
      <c r="C136" s="164">
        <v>0.09</v>
      </c>
      <c r="D136" s="165" t="s">
        <v>14</v>
      </c>
      <c r="E136" s="166" t="s">
        <v>578</v>
      </c>
    </row>
    <row r="137" ht="21.75" customHeight="1">
      <c r="A137" s="167"/>
      <c r="B137" s="177" t="s">
        <v>590</v>
      </c>
      <c r="C137" s="178" t="s">
        <v>616</v>
      </c>
      <c r="D137" s="179" t="s">
        <v>14</v>
      </c>
      <c r="E137" s="180" t="s">
        <v>739</v>
      </c>
    </row>
    <row r="138" ht="21.75" customHeight="1">
      <c r="A138" s="167"/>
      <c r="B138" s="163" t="s">
        <v>557</v>
      </c>
      <c r="C138" s="164">
        <v>0.04</v>
      </c>
      <c r="D138" s="165" t="s">
        <v>14</v>
      </c>
      <c r="E138" s="166" t="s">
        <v>740</v>
      </c>
    </row>
    <row r="139" ht="21.75" customHeight="1">
      <c r="A139" s="188"/>
      <c r="B139" s="183" t="s">
        <v>581</v>
      </c>
      <c r="C139" s="184">
        <v>0.62</v>
      </c>
      <c r="D139" s="185" t="s">
        <v>14</v>
      </c>
      <c r="E139" s="186" t="s">
        <v>741</v>
      </c>
    </row>
    <row r="140" ht="21.75" customHeight="1">
      <c r="A140" s="175" t="s">
        <v>573</v>
      </c>
      <c r="B140" s="163" t="s">
        <v>742</v>
      </c>
      <c r="C140" s="164">
        <v>0.09</v>
      </c>
      <c r="D140" s="165" t="s">
        <v>14</v>
      </c>
      <c r="E140" s="166" t="s">
        <v>743</v>
      </c>
    </row>
    <row r="141" ht="21.75" customHeight="1">
      <c r="A141" s="176" t="s">
        <v>744</v>
      </c>
      <c r="B141" s="177" t="s">
        <v>554</v>
      </c>
      <c r="C141" s="178">
        <v>0.15</v>
      </c>
      <c r="D141" s="179" t="s">
        <v>14</v>
      </c>
      <c r="E141" s="180" t="s">
        <v>745</v>
      </c>
    </row>
    <row r="142" ht="21.75" customHeight="1">
      <c r="A142" s="181"/>
      <c r="B142" s="163" t="s">
        <v>555</v>
      </c>
      <c r="C142" s="164">
        <v>0.05</v>
      </c>
      <c r="D142" s="165" t="s">
        <v>14</v>
      </c>
      <c r="E142" s="166" t="s">
        <v>578</v>
      </c>
    </row>
    <row r="143" ht="21.75" customHeight="1">
      <c r="A143" s="167"/>
      <c r="B143" s="177" t="s">
        <v>556</v>
      </c>
      <c r="C143" s="178" t="s">
        <v>14</v>
      </c>
      <c r="D143" s="179" t="s">
        <v>14</v>
      </c>
      <c r="E143" s="180" t="s">
        <v>746</v>
      </c>
    </row>
    <row r="144" ht="21.75" customHeight="1">
      <c r="A144" s="167"/>
      <c r="B144" s="163" t="s">
        <v>557</v>
      </c>
      <c r="C144" s="164">
        <v>0.08</v>
      </c>
      <c r="D144" s="165" t="s">
        <v>14</v>
      </c>
      <c r="E144" s="166" t="s">
        <v>578</v>
      </c>
    </row>
    <row r="145" ht="21.75" customHeight="1">
      <c r="A145" s="188"/>
      <c r="B145" s="183" t="s">
        <v>614</v>
      </c>
      <c r="C145" s="184">
        <v>0.21</v>
      </c>
      <c r="D145" s="185" t="s">
        <v>14</v>
      </c>
      <c r="E145" s="186" t="s">
        <v>747</v>
      </c>
    </row>
    <row r="146" ht="21.75" customHeight="1">
      <c r="A146" s="187"/>
      <c r="B146" s="163" t="s">
        <v>553</v>
      </c>
      <c r="C146" s="164" t="s">
        <v>588</v>
      </c>
      <c r="D146" s="165" t="s">
        <v>14</v>
      </c>
      <c r="E146" s="166" t="s">
        <v>748</v>
      </c>
    </row>
    <row r="147" ht="21.75" customHeight="1">
      <c r="A147" s="176" t="s">
        <v>749</v>
      </c>
      <c r="B147" s="177" t="s">
        <v>554</v>
      </c>
      <c r="C147" s="178">
        <v>0.085</v>
      </c>
      <c r="D147" s="179" t="s">
        <v>14</v>
      </c>
      <c r="E147" s="180" t="s">
        <v>750</v>
      </c>
    </row>
    <row r="148" ht="21.75" customHeight="1">
      <c r="A148" s="181"/>
      <c r="B148" s="163" t="s">
        <v>751</v>
      </c>
      <c r="C148" s="164">
        <v>0.18</v>
      </c>
      <c r="D148" s="165" t="s">
        <v>14</v>
      </c>
      <c r="E148" s="166" t="s">
        <v>578</v>
      </c>
    </row>
    <row r="149" ht="21.75" customHeight="1">
      <c r="A149" s="167"/>
      <c r="B149" s="177" t="s">
        <v>590</v>
      </c>
      <c r="C149" s="178" t="s">
        <v>663</v>
      </c>
      <c r="D149" s="179" t="s">
        <v>14</v>
      </c>
      <c r="E149" s="180" t="s">
        <v>752</v>
      </c>
    </row>
    <row r="150" ht="21.75" customHeight="1">
      <c r="A150" s="167"/>
      <c r="B150" s="163" t="s">
        <v>557</v>
      </c>
      <c r="C150" s="164">
        <v>0.02</v>
      </c>
      <c r="D150" s="165" t="s">
        <v>14</v>
      </c>
      <c r="E150" s="166" t="s">
        <v>578</v>
      </c>
    </row>
    <row r="151" ht="21.75" customHeight="1">
      <c r="A151" s="188"/>
      <c r="B151" s="183" t="s">
        <v>753</v>
      </c>
      <c r="C151" s="184">
        <v>0.37</v>
      </c>
      <c r="D151" s="185" t="s">
        <v>14</v>
      </c>
      <c r="E151" s="186" t="s">
        <v>754</v>
      </c>
    </row>
    <row r="152" ht="21.75" customHeight="1">
      <c r="A152" s="175" t="s">
        <v>573</v>
      </c>
      <c r="B152" s="163" t="s">
        <v>553</v>
      </c>
      <c r="C152" s="164">
        <v>0.16</v>
      </c>
      <c r="D152" s="165" t="s">
        <v>14</v>
      </c>
      <c r="E152" s="166" t="s">
        <v>755</v>
      </c>
    </row>
    <row r="153" ht="21.75" customHeight="1">
      <c r="A153" s="176" t="s">
        <v>756</v>
      </c>
      <c r="B153" s="177" t="s">
        <v>598</v>
      </c>
      <c r="C153" s="178">
        <v>0.15</v>
      </c>
      <c r="D153" s="179">
        <v>0.11</v>
      </c>
      <c r="E153" s="180" t="s">
        <v>757</v>
      </c>
    </row>
    <row r="154" ht="21.75" customHeight="1">
      <c r="A154" s="181"/>
      <c r="B154" s="163" t="s">
        <v>555</v>
      </c>
      <c r="C154" s="164">
        <v>0.035</v>
      </c>
      <c r="D154" s="165" t="s">
        <v>14</v>
      </c>
      <c r="E154" s="166" t="s">
        <v>578</v>
      </c>
    </row>
    <row r="155" ht="21.75" customHeight="1">
      <c r="A155" s="167"/>
      <c r="B155" s="177" t="s">
        <v>579</v>
      </c>
      <c r="C155" s="178">
        <v>0.15</v>
      </c>
      <c r="D155" s="179" t="s">
        <v>14</v>
      </c>
      <c r="E155" s="180" t="s">
        <v>758</v>
      </c>
    </row>
    <row r="156" ht="21.75" customHeight="1">
      <c r="A156" s="167"/>
      <c r="B156" s="163" t="s">
        <v>557</v>
      </c>
      <c r="C156" s="164">
        <v>0.075</v>
      </c>
      <c r="D156" s="165" t="s">
        <v>14</v>
      </c>
      <c r="E156" s="166" t="s">
        <v>578</v>
      </c>
    </row>
    <row r="157" ht="21.75" customHeight="1">
      <c r="A157" s="188"/>
      <c r="B157" s="183" t="s">
        <v>411</v>
      </c>
      <c r="C157" s="184">
        <v>0.075</v>
      </c>
      <c r="D157" s="185">
        <v>0.04</v>
      </c>
      <c r="E157" s="186" t="s">
        <v>759</v>
      </c>
    </row>
    <row r="158" ht="21.75" customHeight="1">
      <c r="A158" s="175" t="s">
        <v>573</v>
      </c>
      <c r="B158" s="163" t="s">
        <v>553</v>
      </c>
      <c r="C158" s="164">
        <v>0.09</v>
      </c>
      <c r="D158" s="165" t="s">
        <v>14</v>
      </c>
      <c r="E158" s="166" t="s">
        <v>760</v>
      </c>
    </row>
    <row r="159" ht="21.75" customHeight="1">
      <c r="A159" s="176" t="s">
        <v>761</v>
      </c>
      <c r="B159" s="177" t="s">
        <v>554</v>
      </c>
      <c r="C159" s="178">
        <v>0.13</v>
      </c>
      <c r="D159" s="179" t="s">
        <v>14</v>
      </c>
      <c r="E159" s="180" t="s">
        <v>762</v>
      </c>
    </row>
    <row r="160" ht="21.75" customHeight="1">
      <c r="A160" s="181"/>
      <c r="B160" s="163" t="s">
        <v>555</v>
      </c>
      <c r="C160" s="164">
        <v>0.13</v>
      </c>
      <c r="D160" s="165" t="s">
        <v>14</v>
      </c>
      <c r="E160" s="166" t="s">
        <v>578</v>
      </c>
    </row>
    <row r="161" ht="21.75" customHeight="1">
      <c r="A161" s="167"/>
      <c r="B161" s="177" t="s">
        <v>590</v>
      </c>
      <c r="C161" s="178">
        <v>0.215</v>
      </c>
      <c r="D161" s="179">
        <v>0.1</v>
      </c>
      <c r="E161" s="180" t="s">
        <v>763</v>
      </c>
    </row>
    <row r="162" ht="21.75" customHeight="1">
      <c r="A162" s="167"/>
      <c r="B162" s="163" t="s">
        <v>557</v>
      </c>
      <c r="C162" s="164">
        <v>0.05</v>
      </c>
      <c r="D162" s="165" t="s">
        <v>14</v>
      </c>
      <c r="E162" s="166" t="s">
        <v>578</v>
      </c>
    </row>
    <row r="163" ht="21.75" customHeight="1">
      <c r="A163" s="188"/>
      <c r="B163" s="183" t="s">
        <v>581</v>
      </c>
      <c r="C163" s="184">
        <v>0.38</v>
      </c>
      <c r="D163" s="185" t="s">
        <v>14</v>
      </c>
      <c r="E163" s="186" t="s">
        <v>764</v>
      </c>
    </row>
    <row r="164" ht="21.75" customHeight="1">
      <c r="A164" s="175" t="s">
        <v>573</v>
      </c>
      <c r="B164" s="163" t="s">
        <v>765</v>
      </c>
      <c r="C164" s="164">
        <v>0.155</v>
      </c>
      <c r="D164" s="165" t="s">
        <v>14</v>
      </c>
      <c r="E164" s="166" t="s">
        <v>766</v>
      </c>
    </row>
    <row r="165" ht="21.75" customHeight="1">
      <c r="A165" s="176" t="s">
        <v>767</v>
      </c>
      <c r="B165" s="177" t="s">
        <v>768</v>
      </c>
      <c r="C165" s="178">
        <v>0.41</v>
      </c>
      <c r="D165" s="179">
        <v>0.11</v>
      </c>
      <c r="E165" s="180" t="s">
        <v>769</v>
      </c>
    </row>
    <row r="166" ht="21.75" customHeight="1">
      <c r="A166" s="181"/>
      <c r="B166" s="163" t="s">
        <v>555</v>
      </c>
      <c r="C166" s="164">
        <v>0.155</v>
      </c>
      <c r="D166" s="165" t="s">
        <v>14</v>
      </c>
      <c r="E166" s="166" t="s">
        <v>770</v>
      </c>
    </row>
    <row r="167" ht="21.75" customHeight="1">
      <c r="A167" s="167"/>
      <c r="B167" s="177" t="s">
        <v>771</v>
      </c>
      <c r="C167" s="178">
        <v>0.17</v>
      </c>
      <c r="D167" s="179">
        <v>0.14</v>
      </c>
      <c r="E167" s="180" t="s">
        <v>772</v>
      </c>
    </row>
    <row r="168" ht="21.75" customHeight="1">
      <c r="A168" s="167"/>
      <c r="B168" s="163" t="s">
        <v>557</v>
      </c>
      <c r="C168" s="164">
        <v>0.125</v>
      </c>
      <c r="D168" s="165" t="s">
        <v>14</v>
      </c>
      <c r="E168" s="166" t="s">
        <v>770</v>
      </c>
    </row>
    <row r="169" ht="21.75" customHeight="1">
      <c r="A169" s="188"/>
      <c r="B169" s="183" t="s">
        <v>773</v>
      </c>
      <c r="C169" s="184">
        <v>0.48</v>
      </c>
      <c r="D169" s="185">
        <v>0.11</v>
      </c>
      <c r="E169" s="186" t="s">
        <v>774</v>
      </c>
    </row>
    <row r="170" ht="21.75" customHeight="1">
      <c r="A170" s="187"/>
      <c r="B170" s="163" t="s">
        <v>553</v>
      </c>
      <c r="C170" s="164" t="s">
        <v>14</v>
      </c>
      <c r="D170" s="165" t="s">
        <v>14</v>
      </c>
      <c r="E170" s="166" t="s">
        <v>775</v>
      </c>
    </row>
    <row r="171" ht="21.75" customHeight="1">
      <c r="A171" s="176" t="s">
        <v>776</v>
      </c>
      <c r="B171" s="177" t="s">
        <v>726</v>
      </c>
      <c r="C171" s="178" t="s">
        <v>120</v>
      </c>
      <c r="D171" s="179" t="s">
        <v>14</v>
      </c>
      <c r="E171" s="180" t="s">
        <v>777</v>
      </c>
    </row>
    <row r="172" ht="21.75" customHeight="1">
      <c r="A172" s="181"/>
      <c r="B172" s="163" t="s">
        <v>555</v>
      </c>
      <c r="C172" s="164">
        <v>0.04</v>
      </c>
      <c r="D172" s="165" t="s">
        <v>778</v>
      </c>
      <c r="E172" s="166" t="s">
        <v>770</v>
      </c>
    </row>
    <row r="173" ht="21.75" customHeight="1">
      <c r="A173" s="167"/>
      <c r="B173" s="177" t="s">
        <v>556</v>
      </c>
      <c r="C173" s="178">
        <v>0.06</v>
      </c>
      <c r="D173" s="179">
        <v>0.07</v>
      </c>
      <c r="E173" s="180" t="s">
        <v>779</v>
      </c>
    </row>
    <row r="174" ht="21.75" customHeight="1">
      <c r="A174" s="167"/>
      <c r="B174" s="163" t="s">
        <v>557</v>
      </c>
      <c r="C174" s="164">
        <v>0.12</v>
      </c>
      <c r="D174" s="165" t="s">
        <v>14</v>
      </c>
      <c r="E174" s="166" t="s">
        <v>770</v>
      </c>
    </row>
    <row r="175" ht="21.75" customHeight="1">
      <c r="A175" s="188"/>
      <c r="B175" s="183" t="s">
        <v>411</v>
      </c>
      <c r="C175" s="184">
        <v>0.21</v>
      </c>
      <c r="D175" s="185" t="s">
        <v>14</v>
      </c>
      <c r="E175" s="186" t="s">
        <v>780</v>
      </c>
    </row>
    <row r="176" ht="21.75" customHeight="1">
      <c r="A176" s="187"/>
      <c r="B176" s="163" t="s">
        <v>553</v>
      </c>
      <c r="C176" s="164">
        <v>0.13</v>
      </c>
      <c r="D176" s="165">
        <v>0.13</v>
      </c>
      <c r="E176" s="166" t="s">
        <v>781</v>
      </c>
    </row>
    <row r="177" ht="21.75" customHeight="1">
      <c r="A177" s="176" t="s">
        <v>782</v>
      </c>
      <c r="B177" s="177" t="s">
        <v>611</v>
      </c>
      <c r="C177" s="178" t="s">
        <v>120</v>
      </c>
      <c r="D177" s="179" t="s">
        <v>14</v>
      </c>
      <c r="E177" s="180" t="s">
        <v>783</v>
      </c>
    </row>
    <row r="178" ht="21.75" customHeight="1">
      <c r="A178" s="181"/>
      <c r="B178" s="163" t="s">
        <v>555</v>
      </c>
      <c r="C178" s="164">
        <v>0.17</v>
      </c>
      <c r="D178" s="165" t="s">
        <v>14</v>
      </c>
      <c r="E178" s="166" t="s">
        <v>770</v>
      </c>
    </row>
    <row r="179" ht="21.75" customHeight="1">
      <c r="A179" s="167"/>
      <c r="B179" s="177" t="s">
        <v>784</v>
      </c>
      <c r="C179" s="178">
        <v>0.19</v>
      </c>
      <c r="D179" s="179" t="s">
        <v>14</v>
      </c>
      <c r="E179" s="180" t="s">
        <v>785</v>
      </c>
    </row>
    <row r="180" ht="21.75" customHeight="1">
      <c r="A180" s="167"/>
      <c r="B180" s="163" t="s">
        <v>557</v>
      </c>
      <c r="C180" s="164">
        <v>0.03</v>
      </c>
      <c r="D180" s="165" t="s">
        <v>14</v>
      </c>
      <c r="E180" s="166" t="s">
        <v>770</v>
      </c>
    </row>
    <row r="181" ht="21.75" customHeight="1">
      <c r="A181" s="188"/>
      <c r="B181" s="183" t="s">
        <v>411</v>
      </c>
      <c r="C181" s="184">
        <v>0.11</v>
      </c>
      <c r="D181" s="185">
        <v>0.06</v>
      </c>
      <c r="E181" s="186" t="s">
        <v>786</v>
      </c>
    </row>
    <row r="182" ht="21.75" customHeight="1">
      <c r="A182" s="187"/>
      <c r="B182" s="163" t="s">
        <v>553</v>
      </c>
      <c r="C182" s="164" t="s">
        <v>14</v>
      </c>
      <c r="D182" s="165" t="s">
        <v>14</v>
      </c>
      <c r="E182" s="166" t="s">
        <v>787</v>
      </c>
    </row>
    <row r="183" ht="21.75" customHeight="1">
      <c r="A183" s="176" t="s">
        <v>788</v>
      </c>
      <c r="B183" s="177" t="s">
        <v>789</v>
      </c>
      <c r="C183" s="178">
        <v>0.1</v>
      </c>
      <c r="D183" s="179" t="s">
        <v>14</v>
      </c>
      <c r="E183" s="180" t="s">
        <v>790</v>
      </c>
    </row>
    <row r="184" ht="21.75" customHeight="1">
      <c r="A184" s="181"/>
      <c r="B184" s="163" t="s">
        <v>555</v>
      </c>
      <c r="C184" s="164">
        <v>0.01</v>
      </c>
      <c r="D184" s="165" t="s">
        <v>14</v>
      </c>
      <c r="E184" s="166" t="s">
        <v>791</v>
      </c>
    </row>
    <row r="185" ht="21.75" customHeight="1">
      <c r="A185" s="167"/>
      <c r="B185" s="177" t="s">
        <v>792</v>
      </c>
      <c r="C185" s="178" t="s">
        <v>616</v>
      </c>
      <c r="D185" s="179" t="s">
        <v>14</v>
      </c>
      <c r="E185" s="180" t="s">
        <v>793</v>
      </c>
    </row>
    <row r="186" ht="21.75" customHeight="1">
      <c r="A186" s="167"/>
      <c r="B186" s="163" t="s">
        <v>557</v>
      </c>
      <c r="C186" s="164">
        <v>0.01</v>
      </c>
      <c r="D186" s="165" t="s">
        <v>14</v>
      </c>
      <c r="E186" s="166" t="s">
        <v>791</v>
      </c>
    </row>
    <row r="187" ht="21.75" customHeight="1">
      <c r="A187" s="188"/>
      <c r="B187" s="183" t="s">
        <v>411</v>
      </c>
      <c r="C187" s="184" t="s">
        <v>14</v>
      </c>
      <c r="D187" s="185">
        <v>0.05</v>
      </c>
      <c r="E187" s="186" t="s">
        <v>794</v>
      </c>
    </row>
    <row r="188" ht="21.75" customHeight="1">
      <c r="A188" s="175" t="s">
        <v>573</v>
      </c>
      <c r="B188" s="163" t="s">
        <v>553</v>
      </c>
      <c r="C188" s="164" t="s">
        <v>120</v>
      </c>
      <c r="D188" s="165" t="s">
        <v>14</v>
      </c>
      <c r="E188" s="166" t="s">
        <v>795</v>
      </c>
    </row>
    <row r="189" ht="21.75" customHeight="1">
      <c r="A189" s="176" t="s">
        <v>796</v>
      </c>
      <c r="B189" s="177" t="s">
        <v>554</v>
      </c>
      <c r="C189" s="178">
        <v>0.11</v>
      </c>
      <c r="D189" s="179" t="s">
        <v>14</v>
      </c>
      <c r="E189" s="180" t="s">
        <v>797</v>
      </c>
    </row>
    <row r="190" ht="21.75" customHeight="1">
      <c r="A190" s="181"/>
      <c r="B190" s="163" t="s">
        <v>555</v>
      </c>
      <c r="C190" s="164">
        <v>0.1</v>
      </c>
      <c r="D190" s="165" t="s">
        <v>14</v>
      </c>
      <c r="E190" s="166" t="s">
        <v>798</v>
      </c>
    </row>
    <row r="191" ht="21.75" customHeight="1">
      <c r="A191" s="167"/>
      <c r="B191" s="177" t="s">
        <v>556</v>
      </c>
      <c r="C191" s="178" t="s">
        <v>14</v>
      </c>
      <c r="D191" s="179">
        <v>0.1</v>
      </c>
      <c r="E191" s="180" t="s">
        <v>799</v>
      </c>
    </row>
    <row r="192" ht="21.75" customHeight="1">
      <c r="A192" s="167"/>
      <c r="B192" s="163" t="s">
        <v>557</v>
      </c>
      <c r="C192" s="164">
        <v>0.02</v>
      </c>
      <c r="D192" s="165" t="s">
        <v>14</v>
      </c>
      <c r="E192" s="166" t="s">
        <v>770</v>
      </c>
    </row>
    <row r="193" ht="21.75" customHeight="1">
      <c r="A193" s="188"/>
      <c r="B193" s="183" t="s">
        <v>411</v>
      </c>
      <c r="C193" s="184" t="s">
        <v>120</v>
      </c>
      <c r="D193" s="185" t="s">
        <v>14</v>
      </c>
      <c r="E193" s="186" t="s">
        <v>800</v>
      </c>
    </row>
    <row r="194" ht="21.75" customHeight="1">
      <c r="A194" s="187"/>
      <c r="B194" s="163" t="s">
        <v>765</v>
      </c>
      <c r="C194" s="164" t="s">
        <v>14</v>
      </c>
      <c r="D194" s="165" t="s">
        <v>663</v>
      </c>
      <c r="E194" s="166" t="s">
        <v>801</v>
      </c>
    </row>
    <row r="195" ht="21.75" customHeight="1">
      <c r="A195" s="176" t="s">
        <v>802</v>
      </c>
      <c r="B195" s="177" t="s">
        <v>554</v>
      </c>
      <c r="C195" s="178">
        <v>0.13</v>
      </c>
      <c r="D195" s="179" t="s">
        <v>14</v>
      </c>
      <c r="E195" s="180" t="s">
        <v>803</v>
      </c>
    </row>
    <row r="196" ht="21.75" customHeight="1">
      <c r="A196" s="181"/>
      <c r="B196" s="163" t="s">
        <v>555</v>
      </c>
      <c r="C196" s="164">
        <v>0.04</v>
      </c>
      <c r="D196" s="165" t="s">
        <v>14</v>
      </c>
      <c r="E196" s="166" t="s">
        <v>804</v>
      </c>
    </row>
    <row r="197" ht="21.75" customHeight="1">
      <c r="A197" s="167"/>
      <c r="B197" s="177" t="s">
        <v>579</v>
      </c>
      <c r="C197" s="178">
        <v>0.56</v>
      </c>
      <c r="D197" s="179" t="s">
        <v>14</v>
      </c>
      <c r="E197" s="180" t="s">
        <v>805</v>
      </c>
    </row>
    <row r="198" ht="21.75" customHeight="1">
      <c r="A198" s="167"/>
      <c r="B198" s="163" t="s">
        <v>557</v>
      </c>
      <c r="C198" s="164">
        <v>0.13</v>
      </c>
      <c r="D198" s="165" t="s">
        <v>14</v>
      </c>
      <c r="E198" s="166" t="s">
        <v>770</v>
      </c>
    </row>
    <row r="199" ht="21.75" customHeight="1">
      <c r="A199" s="188"/>
      <c r="B199" s="183" t="s">
        <v>806</v>
      </c>
      <c r="C199" s="184">
        <v>0.05</v>
      </c>
      <c r="D199" s="185">
        <v>0.18</v>
      </c>
      <c r="E199" s="186" t="s">
        <v>807</v>
      </c>
    </row>
    <row r="200" ht="21.75" customHeight="1">
      <c r="A200" s="187"/>
      <c r="B200" s="163" t="s">
        <v>553</v>
      </c>
      <c r="C200" s="164" t="s">
        <v>14</v>
      </c>
      <c r="D200" s="165" t="s">
        <v>14</v>
      </c>
      <c r="E200" s="166" t="s">
        <v>808</v>
      </c>
    </row>
    <row r="201" ht="21.75" customHeight="1">
      <c r="A201" s="176" t="s">
        <v>809</v>
      </c>
      <c r="B201" s="177" t="s">
        <v>554</v>
      </c>
      <c r="C201" s="178" t="s">
        <v>14</v>
      </c>
      <c r="D201" s="179" t="s">
        <v>14</v>
      </c>
      <c r="E201" s="180" t="s">
        <v>810</v>
      </c>
    </row>
    <row r="202" ht="21.75" customHeight="1">
      <c r="A202" s="181"/>
      <c r="B202" s="163" t="s">
        <v>555</v>
      </c>
      <c r="C202" s="164">
        <v>0.13</v>
      </c>
      <c r="D202" s="165" t="s">
        <v>14</v>
      </c>
      <c r="E202" s="166" t="s">
        <v>770</v>
      </c>
    </row>
    <row r="203" ht="21.75" customHeight="1">
      <c r="A203" s="167"/>
      <c r="B203" s="177" t="s">
        <v>556</v>
      </c>
      <c r="C203" s="178">
        <v>0.14</v>
      </c>
      <c r="D203" s="179" t="s">
        <v>14</v>
      </c>
      <c r="E203" s="180" t="s">
        <v>811</v>
      </c>
    </row>
    <row r="204" ht="21.75" customHeight="1">
      <c r="A204" s="167"/>
      <c r="B204" s="163" t="s">
        <v>557</v>
      </c>
      <c r="C204" s="164">
        <v>0.08</v>
      </c>
      <c r="D204" s="165" t="s">
        <v>14</v>
      </c>
      <c r="E204" s="166" t="s">
        <v>770</v>
      </c>
    </row>
    <row r="205" ht="21.75" customHeight="1">
      <c r="A205" s="188"/>
      <c r="B205" s="183" t="s">
        <v>411</v>
      </c>
      <c r="C205" s="184">
        <v>0.07</v>
      </c>
      <c r="D205" s="185">
        <v>0.05</v>
      </c>
      <c r="E205" s="186" t="s">
        <v>812</v>
      </c>
    </row>
    <row r="206" ht="21.75" customHeight="1">
      <c r="A206" s="187"/>
      <c r="B206" s="163" t="s">
        <v>553</v>
      </c>
      <c r="C206" s="164" t="s">
        <v>14</v>
      </c>
      <c r="D206" s="165" t="s">
        <v>14</v>
      </c>
      <c r="E206" s="166" t="s">
        <v>813</v>
      </c>
    </row>
    <row r="207" ht="21.75" customHeight="1">
      <c r="A207" s="176" t="s">
        <v>814</v>
      </c>
      <c r="B207" s="177" t="s">
        <v>554</v>
      </c>
      <c r="C207" s="178">
        <v>0.05</v>
      </c>
      <c r="D207" s="179" t="s">
        <v>14</v>
      </c>
      <c r="E207" s="180" t="s">
        <v>815</v>
      </c>
    </row>
    <row r="208" ht="21.75" customHeight="1">
      <c r="A208" s="181"/>
      <c r="B208" s="163" t="s">
        <v>555</v>
      </c>
      <c r="C208" s="164">
        <v>0.01</v>
      </c>
      <c r="D208" s="165" t="s">
        <v>14</v>
      </c>
      <c r="E208" s="166" t="s">
        <v>770</v>
      </c>
    </row>
    <row r="209" ht="21.75" customHeight="1">
      <c r="A209" s="167"/>
      <c r="B209" s="177" t="s">
        <v>556</v>
      </c>
      <c r="C209" s="178" t="s">
        <v>816</v>
      </c>
      <c r="D209" s="179" t="s">
        <v>14</v>
      </c>
      <c r="E209" s="180" t="s">
        <v>817</v>
      </c>
    </row>
    <row r="210" ht="21.75" customHeight="1">
      <c r="A210" s="167"/>
      <c r="B210" s="163" t="s">
        <v>557</v>
      </c>
      <c r="C210" s="164">
        <v>0.035</v>
      </c>
      <c r="D210" s="165" t="s">
        <v>14</v>
      </c>
      <c r="E210" s="166" t="s">
        <v>770</v>
      </c>
    </row>
    <row r="211" ht="21.75" customHeight="1">
      <c r="A211" s="188"/>
      <c r="B211" s="183" t="s">
        <v>411</v>
      </c>
      <c r="C211" s="184">
        <v>0.09</v>
      </c>
      <c r="D211" s="185" t="s">
        <v>14</v>
      </c>
      <c r="E211" s="186" t="s">
        <v>818</v>
      </c>
    </row>
    <row r="212" ht="21.75" customHeight="1">
      <c r="A212" s="175" t="s">
        <v>573</v>
      </c>
      <c r="B212" s="163" t="s">
        <v>765</v>
      </c>
      <c r="C212" s="164">
        <v>0.33</v>
      </c>
      <c r="D212" s="189" t="s">
        <v>819</v>
      </c>
      <c r="E212" s="166" t="s">
        <v>820</v>
      </c>
    </row>
    <row r="213" ht="21.75" customHeight="1">
      <c r="A213" s="176" t="s">
        <v>821</v>
      </c>
      <c r="B213" s="177" t="s">
        <v>598</v>
      </c>
      <c r="C213" s="178">
        <v>0.4</v>
      </c>
      <c r="D213" s="190">
        <v>0.35</v>
      </c>
      <c r="E213" s="180" t="s">
        <v>822</v>
      </c>
    </row>
    <row r="214" ht="21.75" customHeight="1">
      <c r="A214" s="181"/>
      <c r="B214" s="163" t="s">
        <v>555</v>
      </c>
      <c r="C214" s="164">
        <v>0.3</v>
      </c>
      <c r="D214" s="165" t="s">
        <v>14</v>
      </c>
      <c r="E214" s="166" t="s">
        <v>770</v>
      </c>
    </row>
    <row r="215" ht="21.75" customHeight="1">
      <c r="A215" s="167"/>
      <c r="B215" s="177" t="s">
        <v>556</v>
      </c>
      <c r="C215" s="178">
        <v>0.63</v>
      </c>
      <c r="D215" s="179" t="s">
        <v>14</v>
      </c>
      <c r="E215" s="180" t="s">
        <v>823</v>
      </c>
    </row>
    <row r="216" ht="21.75" customHeight="1">
      <c r="A216" s="167"/>
      <c r="B216" s="163" t="s">
        <v>557</v>
      </c>
      <c r="C216" s="164">
        <v>0.01</v>
      </c>
      <c r="D216" s="165" t="s">
        <v>14</v>
      </c>
      <c r="E216" s="166" t="s">
        <v>770</v>
      </c>
    </row>
    <row r="217" ht="21.75" customHeight="1">
      <c r="A217" s="188"/>
      <c r="B217" s="183" t="s">
        <v>411</v>
      </c>
      <c r="C217" s="191" t="s">
        <v>824</v>
      </c>
      <c r="D217" s="192" t="s">
        <v>825</v>
      </c>
      <c r="E217" s="186" t="s">
        <v>826</v>
      </c>
    </row>
    <row r="218" ht="21.75" customHeight="1">
      <c r="A218" s="175" t="s">
        <v>573</v>
      </c>
      <c r="B218" s="163" t="s">
        <v>553</v>
      </c>
      <c r="C218" s="164">
        <v>0.06</v>
      </c>
      <c r="D218" s="165" t="s">
        <v>14</v>
      </c>
      <c r="E218" s="166" t="s">
        <v>827</v>
      </c>
    </row>
    <row r="219" ht="21.75" customHeight="1">
      <c r="A219" s="193" t="s">
        <v>828</v>
      </c>
      <c r="B219" s="194" t="s">
        <v>554</v>
      </c>
      <c r="C219" s="195">
        <v>0.11</v>
      </c>
      <c r="D219" s="196" t="s">
        <v>14</v>
      </c>
      <c r="E219" s="197" t="s">
        <v>829</v>
      </c>
    </row>
    <row r="220" ht="21.75" customHeight="1">
      <c r="A220" s="198"/>
      <c r="B220" s="163" t="s">
        <v>555</v>
      </c>
      <c r="C220" s="164">
        <v>0.15</v>
      </c>
      <c r="D220" s="165" t="s">
        <v>14</v>
      </c>
      <c r="E220" s="166" t="s">
        <v>830</v>
      </c>
    </row>
    <row r="221" ht="21.75" customHeight="1">
      <c r="A221" s="167"/>
      <c r="B221" s="194" t="s">
        <v>590</v>
      </c>
      <c r="C221" s="195">
        <v>0.19</v>
      </c>
      <c r="D221" s="196" t="s">
        <v>120</v>
      </c>
      <c r="E221" s="197" t="s">
        <v>831</v>
      </c>
    </row>
    <row r="222" ht="21.75" customHeight="1">
      <c r="A222" s="167"/>
      <c r="B222" s="163" t="s">
        <v>557</v>
      </c>
      <c r="C222" s="164">
        <v>0.06</v>
      </c>
      <c r="D222" s="165" t="s">
        <v>14</v>
      </c>
      <c r="E222" s="166" t="s">
        <v>770</v>
      </c>
    </row>
    <row r="223" ht="21.75" customHeight="1">
      <c r="A223" s="199"/>
      <c r="B223" s="200" t="s">
        <v>411</v>
      </c>
      <c r="C223" s="201">
        <v>0.2</v>
      </c>
      <c r="D223" s="202" t="s">
        <v>14</v>
      </c>
      <c r="E223" s="203" t="s">
        <v>832</v>
      </c>
    </row>
    <row r="224" ht="21.75" customHeight="1">
      <c r="A224" s="187"/>
      <c r="B224" s="163" t="s">
        <v>553</v>
      </c>
      <c r="C224" s="164" t="s">
        <v>833</v>
      </c>
      <c r="D224" s="165" t="s">
        <v>14</v>
      </c>
      <c r="E224" s="166" t="s">
        <v>834</v>
      </c>
    </row>
    <row r="225" ht="21.75" customHeight="1">
      <c r="A225" s="193" t="s">
        <v>835</v>
      </c>
      <c r="B225" s="194" t="s">
        <v>554</v>
      </c>
      <c r="C225" s="195">
        <v>0.01</v>
      </c>
      <c r="D225" s="196">
        <v>0.075</v>
      </c>
      <c r="E225" s="197" t="s">
        <v>836</v>
      </c>
    </row>
    <row r="226" ht="21.75" customHeight="1">
      <c r="A226" s="198"/>
      <c r="B226" s="163" t="s">
        <v>555</v>
      </c>
      <c r="C226" s="164" t="s">
        <v>14</v>
      </c>
      <c r="D226" s="165" t="s">
        <v>14</v>
      </c>
      <c r="E226" s="166" t="s">
        <v>837</v>
      </c>
    </row>
    <row r="227" ht="21.75" customHeight="1">
      <c r="A227" s="167"/>
      <c r="B227" s="194" t="s">
        <v>556</v>
      </c>
      <c r="C227" s="195" t="s">
        <v>838</v>
      </c>
      <c r="D227" s="196" t="s">
        <v>14</v>
      </c>
      <c r="E227" s="197" t="s">
        <v>839</v>
      </c>
    </row>
    <row r="228" ht="21.75" customHeight="1">
      <c r="A228" s="167"/>
      <c r="B228" s="163" t="s">
        <v>557</v>
      </c>
      <c r="C228" s="164" t="s">
        <v>14</v>
      </c>
      <c r="D228" s="165" t="s">
        <v>14</v>
      </c>
      <c r="E228" s="166" t="s">
        <v>840</v>
      </c>
    </row>
    <row r="229" ht="21.75" customHeight="1">
      <c r="A229" s="199"/>
      <c r="B229" s="200" t="s">
        <v>411</v>
      </c>
      <c r="C229" s="201" t="s">
        <v>14</v>
      </c>
      <c r="D229" s="202" t="s">
        <v>14</v>
      </c>
      <c r="E229" s="203" t="s">
        <v>841</v>
      </c>
    </row>
    <row r="230" ht="21.75" customHeight="1">
      <c r="A230" s="187"/>
      <c r="B230" s="163" t="s">
        <v>553</v>
      </c>
      <c r="C230" s="164" t="s">
        <v>842</v>
      </c>
      <c r="D230" s="165" t="s">
        <v>14</v>
      </c>
      <c r="E230" s="166" t="s">
        <v>843</v>
      </c>
    </row>
    <row r="231" ht="21.75" customHeight="1">
      <c r="A231" s="193" t="s">
        <v>844</v>
      </c>
      <c r="B231" s="194" t="s">
        <v>554</v>
      </c>
      <c r="C231" s="195">
        <v>0.18</v>
      </c>
      <c r="D231" s="196" t="s">
        <v>14</v>
      </c>
      <c r="E231" s="197" t="s">
        <v>845</v>
      </c>
    </row>
    <row r="232" ht="21.75" customHeight="1">
      <c r="A232" s="198"/>
      <c r="B232" s="163" t="s">
        <v>555</v>
      </c>
      <c r="C232" s="164">
        <v>0.11</v>
      </c>
      <c r="D232" s="165" t="s">
        <v>14</v>
      </c>
      <c r="E232" s="166" t="s">
        <v>770</v>
      </c>
    </row>
    <row r="233" ht="21.75" customHeight="1">
      <c r="A233" s="167"/>
      <c r="B233" s="194" t="s">
        <v>556</v>
      </c>
      <c r="C233" s="195" t="s">
        <v>400</v>
      </c>
      <c r="D233" s="196" t="s">
        <v>14</v>
      </c>
      <c r="E233" s="197" t="s">
        <v>846</v>
      </c>
    </row>
    <row r="234" ht="21.75" customHeight="1">
      <c r="A234" s="167"/>
      <c r="B234" s="163" t="s">
        <v>557</v>
      </c>
      <c r="C234" s="164">
        <v>0.08</v>
      </c>
      <c r="D234" s="165" t="s">
        <v>14</v>
      </c>
      <c r="E234" s="166" t="s">
        <v>770</v>
      </c>
    </row>
    <row r="235" ht="21.75" customHeight="1">
      <c r="A235" s="199"/>
      <c r="B235" s="200" t="s">
        <v>411</v>
      </c>
      <c r="C235" s="201" t="s">
        <v>14</v>
      </c>
      <c r="D235" s="202" t="s">
        <v>14</v>
      </c>
      <c r="E235" s="203" t="s">
        <v>847</v>
      </c>
    </row>
    <row r="236" ht="21.75" customHeight="1">
      <c r="A236" s="187"/>
      <c r="B236" s="163" t="s">
        <v>765</v>
      </c>
      <c r="C236" s="164" t="s">
        <v>14</v>
      </c>
      <c r="D236" s="165" t="s">
        <v>14</v>
      </c>
      <c r="E236" s="166" t="s">
        <v>848</v>
      </c>
    </row>
    <row r="237" ht="21.75" customHeight="1">
      <c r="A237" s="193" t="s">
        <v>849</v>
      </c>
      <c r="B237" s="194" t="s">
        <v>554</v>
      </c>
      <c r="C237" s="195" t="s">
        <v>14</v>
      </c>
      <c r="D237" s="196" t="s">
        <v>850</v>
      </c>
      <c r="E237" s="197" t="s">
        <v>851</v>
      </c>
    </row>
    <row r="238" ht="21.75" customHeight="1">
      <c r="A238" s="198"/>
      <c r="B238" s="163" t="s">
        <v>555</v>
      </c>
      <c r="C238" s="164">
        <v>0.13</v>
      </c>
      <c r="D238" s="165" t="s">
        <v>852</v>
      </c>
      <c r="E238" s="166" t="s">
        <v>853</v>
      </c>
    </row>
    <row r="239" ht="21.75" customHeight="1">
      <c r="A239" s="167"/>
      <c r="B239" s="194" t="s">
        <v>854</v>
      </c>
      <c r="C239" s="195" t="s">
        <v>14</v>
      </c>
      <c r="D239" s="196" t="s">
        <v>14</v>
      </c>
      <c r="E239" s="197" t="s">
        <v>855</v>
      </c>
    </row>
    <row r="240" ht="21.75" customHeight="1">
      <c r="A240" s="167"/>
      <c r="B240" s="163" t="s">
        <v>557</v>
      </c>
      <c r="C240" s="164">
        <v>0.05</v>
      </c>
      <c r="D240" s="165" t="s">
        <v>14</v>
      </c>
      <c r="E240" s="166" t="s">
        <v>856</v>
      </c>
    </row>
    <row r="241" ht="21.75" customHeight="1">
      <c r="A241" s="199"/>
      <c r="B241" s="200" t="s">
        <v>411</v>
      </c>
      <c r="C241" s="201" t="s">
        <v>14</v>
      </c>
      <c r="D241" s="202" t="s">
        <v>120</v>
      </c>
      <c r="E241" s="203" t="s">
        <v>857</v>
      </c>
    </row>
    <row r="242" ht="21.75" customHeight="1">
      <c r="A242" s="175" t="s">
        <v>573</v>
      </c>
      <c r="B242" s="163" t="s">
        <v>858</v>
      </c>
      <c r="C242" s="164">
        <v>0.08</v>
      </c>
      <c r="D242" s="165" t="s">
        <v>14</v>
      </c>
      <c r="E242" s="166" t="s">
        <v>859</v>
      </c>
    </row>
    <row r="243" ht="21.75" customHeight="1">
      <c r="A243" s="193" t="s">
        <v>860</v>
      </c>
      <c r="B243" s="194" t="s">
        <v>861</v>
      </c>
      <c r="C243" s="195">
        <v>0.29</v>
      </c>
      <c r="D243" s="196" t="s">
        <v>14</v>
      </c>
      <c r="E243" s="197" t="s">
        <v>862</v>
      </c>
    </row>
    <row r="244" ht="21.75" customHeight="1">
      <c r="A244" s="198"/>
      <c r="B244" s="163" t="s">
        <v>555</v>
      </c>
      <c r="C244" s="164">
        <v>0.15</v>
      </c>
      <c r="D244" s="165" t="s">
        <v>14</v>
      </c>
      <c r="E244" s="166" t="s">
        <v>770</v>
      </c>
    </row>
    <row r="245" ht="21.75" customHeight="1">
      <c r="A245" s="167"/>
      <c r="B245" s="194" t="s">
        <v>556</v>
      </c>
      <c r="C245" s="195">
        <v>0.12</v>
      </c>
      <c r="D245" s="196">
        <v>0.08</v>
      </c>
      <c r="E245" s="197" t="s">
        <v>863</v>
      </c>
    </row>
    <row r="246" ht="21.75" customHeight="1">
      <c r="A246" s="167"/>
      <c r="B246" s="163" t="s">
        <v>557</v>
      </c>
      <c r="C246" s="164">
        <v>0.05</v>
      </c>
      <c r="D246" s="165" t="s">
        <v>14</v>
      </c>
      <c r="E246" s="166" t="s">
        <v>770</v>
      </c>
    </row>
    <row r="247" ht="21.75" customHeight="1">
      <c r="A247" s="199"/>
      <c r="B247" s="200" t="s">
        <v>659</v>
      </c>
      <c r="C247" s="201">
        <v>0.34</v>
      </c>
      <c r="D247" s="202" t="s">
        <v>14</v>
      </c>
      <c r="E247" s="203" t="s">
        <v>864</v>
      </c>
    </row>
    <row r="248" ht="21.75" customHeight="1">
      <c r="A248" s="187"/>
      <c r="B248" s="163" t="s">
        <v>553</v>
      </c>
      <c r="C248" s="164" t="s">
        <v>14</v>
      </c>
      <c r="D248" s="165" t="s">
        <v>14</v>
      </c>
      <c r="E248" s="166" t="s">
        <v>865</v>
      </c>
    </row>
    <row r="249" ht="21.75" customHeight="1">
      <c r="A249" s="193" t="s">
        <v>866</v>
      </c>
      <c r="B249" s="194" t="s">
        <v>554</v>
      </c>
      <c r="C249" s="195">
        <v>0.02</v>
      </c>
      <c r="D249" s="196" t="s">
        <v>14</v>
      </c>
      <c r="E249" s="197" t="s">
        <v>867</v>
      </c>
    </row>
    <row r="250" ht="21.75" customHeight="1">
      <c r="A250" s="198"/>
      <c r="B250" s="163" t="s">
        <v>555</v>
      </c>
      <c r="C250" s="164">
        <v>0.08</v>
      </c>
      <c r="D250" s="165" t="s">
        <v>14</v>
      </c>
      <c r="E250" s="166" t="s">
        <v>770</v>
      </c>
    </row>
    <row r="251" ht="21.75" customHeight="1">
      <c r="A251" s="167"/>
      <c r="B251" s="194" t="s">
        <v>556</v>
      </c>
      <c r="C251" s="195" t="s">
        <v>14</v>
      </c>
      <c r="D251" s="196" t="s">
        <v>14</v>
      </c>
      <c r="E251" s="197" t="s">
        <v>868</v>
      </c>
    </row>
    <row r="252" ht="21.75" customHeight="1">
      <c r="A252" s="167"/>
      <c r="B252" s="163" t="s">
        <v>557</v>
      </c>
      <c r="C252" s="164">
        <v>0.1</v>
      </c>
      <c r="D252" s="165" t="s">
        <v>14</v>
      </c>
      <c r="E252" s="166" t="s">
        <v>869</v>
      </c>
    </row>
    <row r="253" ht="21.75" customHeight="1">
      <c r="A253" s="199"/>
      <c r="B253" s="200" t="s">
        <v>614</v>
      </c>
      <c r="C253" s="201">
        <v>1.27</v>
      </c>
      <c r="D253" s="202" t="s">
        <v>14</v>
      </c>
      <c r="E253" s="203" t="s">
        <v>870</v>
      </c>
    </row>
    <row r="254" ht="21.75" customHeight="1">
      <c r="A254" s="175" t="s">
        <v>573</v>
      </c>
      <c r="B254" s="163" t="s">
        <v>742</v>
      </c>
      <c r="C254" s="164">
        <v>0.15</v>
      </c>
      <c r="D254" s="165" t="s">
        <v>14</v>
      </c>
      <c r="E254" s="166" t="s">
        <v>871</v>
      </c>
    </row>
    <row r="255" ht="21.75" customHeight="1">
      <c r="A255" s="193" t="s">
        <v>872</v>
      </c>
      <c r="B255" s="194" t="s">
        <v>554</v>
      </c>
      <c r="C255" s="195" t="s">
        <v>14</v>
      </c>
      <c r="D255" s="196" t="s">
        <v>14</v>
      </c>
      <c r="E255" s="197" t="s">
        <v>873</v>
      </c>
    </row>
    <row r="256" ht="21.75" customHeight="1">
      <c r="A256" s="198"/>
      <c r="B256" s="163" t="s">
        <v>555</v>
      </c>
      <c r="C256" s="164">
        <v>0.05</v>
      </c>
      <c r="D256" s="165" t="s">
        <v>120</v>
      </c>
      <c r="E256" s="166" t="s">
        <v>874</v>
      </c>
    </row>
    <row r="257" ht="21.75" customHeight="1">
      <c r="A257" s="167"/>
      <c r="B257" s="194" t="s">
        <v>556</v>
      </c>
      <c r="C257" s="195">
        <v>0.11</v>
      </c>
      <c r="D257" s="196" t="s">
        <v>14</v>
      </c>
      <c r="E257" s="197" t="s">
        <v>875</v>
      </c>
    </row>
    <row r="258" ht="21.75" customHeight="1">
      <c r="A258" s="167"/>
      <c r="B258" s="163" t="s">
        <v>557</v>
      </c>
      <c r="C258" s="164">
        <v>0.01</v>
      </c>
      <c r="D258" s="165" t="s">
        <v>120</v>
      </c>
      <c r="E258" s="166" t="s">
        <v>874</v>
      </c>
    </row>
    <row r="259" ht="21.75" customHeight="1">
      <c r="A259" s="199"/>
      <c r="B259" s="200" t="s">
        <v>411</v>
      </c>
      <c r="C259" s="201">
        <v>0.21</v>
      </c>
      <c r="D259" s="202" t="s">
        <v>14</v>
      </c>
      <c r="E259" s="203" t="s">
        <v>876</v>
      </c>
    </row>
    <row r="260" ht="21.75" customHeight="1">
      <c r="A260" s="175" t="s">
        <v>573</v>
      </c>
      <c r="B260" s="163" t="s">
        <v>553</v>
      </c>
      <c r="C260" s="164" t="s">
        <v>14</v>
      </c>
      <c r="D260" s="165">
        <v>0.08</v>
      </c>
      <c r="E260" s="166" t="s">
        <v>877</v>
      </c>
    </row>
    <row r="261" ht="21.75" customHeight="1">
      <c r="A261" s="193" t="s">
        <v>878</v>
      </c>
      <c r="B261" s="194" t="s">
        <v>554</v>
      </c>
      <c r="C261" s="195" t="s">
        <v>14</v>
      </c>
      <c r="D261" s="196" t="s">
        <v>14</v>
      </c>
      <c r="E261" s="197" t="s">
        <v>879</v>
      </c>
    </row>
    <row r="262" ht="21.75" customHeight="1">
      <c r="A262" s="198"/>
      <c r="B262" s="163" t="s">
        <v>555</v>
      </c>
      <c r="C262" s="164">
        <v>0.12</v>
      </c>
      <c r="D262" s="165" t="s">
        <v>14</v>
      </c>
      <c r="E262" s="166" t="s">
        <v>880</v>
      </c>
    </row>
    <row r="263" ht="21.75" customHeight="1">
      <c r="A263" s="167"/>
      <c r="B263" s="194" t="s">
        <v>590</v>
      </c>
      <c r="C263" s="195" t="s">
        <v>14</v>
      </c>
      <c r="D263" s="196">
        <v>0.07</v>
      </c>
      <c r="E263" s="197" t="s">
        <v>881</v>
      </c>
    </row>
    <row r="264" ht="21.75" customHeight="1">
      <c r="A264" s="167"/>
      <c r="B264" s="163" t="s">
        <v>557</v>
      </c>
      <c r="C264" s="164">
        <v>0.06</v>
      </c>
      <c r="D264" s="165" t="s">
        <v>14</v>
      </c>
      <c r="E264" s="166" t="s">
        <v>770</v>
      </c>
    </row>
    <row r="265" ht="21.75" customHeight="1">
      <c r="A265" s="199"/>
      <c r="B265" s="200" t="s">
        <v>411</v>
      </c>
      <c r="C265" s="201">
        <v>0.96</v>
      </c>
      <c r="D265" s="202" t="s">
        <v>14</v>
      </c>
      <c r="E265" s="203" t="s">
        <v>882</v>
      </c>
    </row>
    <row r="266" ht="21.75" customHeight="1">
      <c r="A266" s="175" t="s">
        <v>573</v>
      </c>
      <c r="B266" s="163" t="s">
        <v>765</v>
      </c>
      <c r="C266" s="164">
        <v>0.19</v>
      </c>
      <c r="D266" s="165" t="s">
        <v>14</v>
      </c>
      <c r="E266" s="166" t="s">
        <v>883</v>
      </c>
    </row>
    <row r="267" ht="21.75" customHeight="1">
      <c r="A267" s="193" t="s">
        <v>884</v>
      </c>
      <c r="B267" s="194" t="s">
        <v>677</v>
      </c>
      <c r="C267" s="195">
        <v>0.23</v>
      </c>
      <c r="D267" s="196" t="s">
        <v>14</v>
      </c>
      <c r="E267" s="197" t="s">
        <v>885</v>
      </c>
    </row>
    <row r="268" ht="21.75" customHeight="1">
      <c r="A268" s="198"/>
      <c r="B268" s="163" t="s">
        <v>555</v>
      </c>
      <c r="C268" s="164">
        <v>0.16</v>
      </c>
      <c r="D268" s="165" t="s">
        <v>14</v>
      </c>
      <c r="E268" s="166" t="s">
        <v>770</v>
      </c>
    </row>
    <row r="269" ht="21.75" customHeight="1">
      <c r="A269" s="167"/>
      <c r="B269" s="194" t="s">
        <v>590</v>
      </c>
      <c r="C269" s="195">
        <v>0.15</v>
      </c>
      <c r="D269" s="196" t="s">
        <v>14</v>
      </c>
      <c r="E269" s="197" t="s">
        <v>886</v>
      </c>
    </row>
    <row r="270" ht="21.75" customHeight="1">
      <c r="A270" s="167"/>
      <c r="B270" s="163" t="s">
        <v>557</v>
      </c>
      <c r="C270" s="164">
        <v>0.06</v>
      </c>
      <c r="D270" s="165" t="s">
        <v>14</v>
      </c>
      <c r="E270" s="166" t="s">
        <v>770</v>
      </c>
    </row>
    <row r="271" ht="21.75" customHeight="1">
      <c r="A271" s="199"/>
      <c r="B271" s="200" t="s">
        <v>581</v>
      </c>
      <c r="C271" s="201">
        <v>0.57</v>
      </c>
      <c r="D271" s="202" t="s">
        <v>14</v>
      </c>
      <c r="E271" s="203" t="s">
        <v>887</v>
      </c>
    </row>
    <row r="272" ht="21.75" customHeight="1">
      <c r="A272" s="175" t="s">
        <v>573</v>
      </c>
      <c r="B272" s="163" t="s">
        <v>708</v>
      </c>
      <c r="C272" s="164">
        <v>0.23</v>
      </c>
      <c r="D272" s="165" t="s">
        <v>14</v>
      </c>
      <c r="E272" s="166" t="s">
        <v>888</v>
      </c>
    </row>
    <row r="273" ht="21.75" customHeight="1">
      <c r="A273" s="193" t="s">
        <v>889</v>
      </c>
      <c r="B273" s="194" t="s">
        <v>554</v>
      </c>
      <c r="C273" s="195">
        <v>0.12</v>
      </c>
      <c r="D273" s="196" t="s">
        <v>14</v>
      </c>
      <c r="E273" s="197" t="s">
        <v>890</v>
      </c>
    </row>
    <row r="274" ht="21.75" customHeight="1">
      <c r="A274" s="198"/>
      <c r="B274" s="163" t="s">
        <v>555</v>
      </c>
      <c r="C274" s="164">
        <v>0.15</v>
      </c>
      <c r="D274" s="165" t="s">
        <v>14</v>
      </c>
      <c r="E274" s="166" t="s">
        <v>770</v>
      </c>
    </row>
    <row r="275" ht="21.75" customHeight="1">
      <c r="A275" s="167"/>
      <c r="B275" s="194" t="s">
        <v>556</v>
      </c>
      <c r="C275" s="195" t="s">
        <v>14</v>
      </c>
      <c r="D275" s="196" t="s">
        <v>14</v>
      </c>
      <c r="E275" s="197" t="s">
        <v>891</v>
      </c>
    </row>
    <row r="276" ht="21.75" customHeight="1">
      <c r="A276" s="167"/>
      <c r="B276" s="163" t="s">
        <v>557</v>
      </c>
      <c r="C276" s="164">
        <v>0.12</v>
      </c>
      <c r="D276" s="165" t="s">
        <v>14</v>
      </c>
      <c r="E276" s="166" t="s">
        <v>770</v>
      </c>
    </row>
    <row r="277" ht="21.75" customHeight="1">
      <c r="A277" s="199"/>
      <c r="B277" s="200" t="s">
        <v>659</v>
      </c>
      <c r="C277" s="201">
        <v>0.65</v>
      </c>
      <c r="D277" s="202" t="s">
        <v>14</v>
      </c>
      <c r="E277" s="203" t="s">
        <v>892</v>
      </c>
    </row>
    <row r="278" ht="21.75" customHeight="1">
      <c r="A278" s="175" t="s">
        <v>573</v>
      </c>
      <c r="B278" s="163" t="s">
        <v>742</v>
      </c>
      <c r="C278" s="164">
        <v>0.15</v>
      </c>
      <c r="D278" s="165" t="s">
        <v>14</v>
      </c>
      <c r="E278" s="166" t="s">
        <v>893</v>
      </c>
    </row>
    <row r="279" ht="21.75" customHeight="1">
      <c r="A279" s="193" t="s">
        <v>894</v>
      </c>
      <c r="B279" s="194" t="s">
        <v>598</v>
      </c>
      <c r="C279" s="195">
        <v>0.29</v>
      </c>
      <c r="D279" s="196">
        <v>0.2</v>
      </c>
      <c r="E279" s="197" t="s">
        <v>895</v>
      </c>
    </row>
    <row r="280" ht="21.75" customHeight="1">
      <c r="A280" s="198"/>
      <c r="B280" s="163" t="s">
        <v>555</v>
      </c>
      <c r="C280" s="164">
        <v>0.03</v>
      </c>
      <c r="D280" s="165" t="s">
        <v>14</v>
      </c>
      <c r="E280" s="166" t="s">
        <v>770</v>
      </c>
    </row>
    <row r="281" ht="21.75" customHeight="1">
      <c r="A281" s="167"/>
      <c r="B281" s="194" t="s">
        <v>590</v>
      </c>
      <c r="C281" s="195">
        <v>0.08</v>
      </c>
      <c r="D281" s="196" t="s">
        <v>14</v>
      </c>
      <c r="E281" s="197" t="s">
        <v>896</v>
      </c>
    </row>
    <row r="282" ht="21.75" customHeight="1">
      <c r="A282" s="167"/>
      <c r="B282" s="163" t="s">
        <v>557</v>
      </c>
      <c r="C282" s="164">
        <v>0.1</v>
      </c>
      <c r="D282" s="165" t="s">
        <v>14</v>
      </c>
      <c r="E282" s="166" t="s">
        <v>770</v>
      </c>
    </row>
    <row r="283" ht="21.75" customHeight="1">
      <c r="A283" s="199"/>
      <c r="B283" s="200" t="s">
        <v>581</v>
      </c>
      <c r="C283" s="201">
        <v>0.5</v>
      </c>
      <c r="D283" s="202" t="s">
        <v>14</v>
      </c>
      <c r="E283" s="203" t="s">
        <v>897</v>
      </c>
    </row>
    <row r="284" ht="21.75" customHeight="1">
      <c r="A284" s="175" t="s">
        <v>573</v>
      </c>
      <c r="B284" s="163" t="s">
        <v>858</v>
      </c>
      <c r="C284" s="164">
        <v>0.06</v>
      </c>
      <c r="D284" s="165">
        <v>0.34</v>
      </c>
      <c r="E284" s="166" t="s">
        <v>898</v>
      </c>
    </row>
    <row r="285" ht="21.75" customHeight="1">
      <c r="A285" s="193" t="s">
        <v>899</v>
      </c>
      <c r="B285" s="194" t="s">
        <v>598</v>
      </c>
      <c r="C285" s="195">
        <v>0.22</v>
      </c>
      <c r="D285" s="196">
        <v>0.25</v>
      </c>
      <c r="E285" s="197" t="s">
        <v>900</v>
      </c>
    </row>
    <row r="286" ht="21.75" customHeight="1">
      <c r="A286" s="198"/>
      <c r="B286" s="163" t="s">
        <v>555</v>
      </c>
      <c r="C286" s="164">
        <v>0.04</v>
      </c>
      <c r="D286" s="165" t="s">
        <v>901</v>
      </c>
      <c r="E286" s="166" t="s">
        <v>902</v>
      </c>
    </row>
    <row r="287" ht="21.75" customHeight="1">
      <c r="A287" s="167"/>
      <c r="B287" s="194" t="s">
        <v>903</v>
      </c>
      <c r="C287" s="195">
        <v>1.22</v>
      </c>
      <c r="D287" s="196" t="s">
        <v>14</v>
      </c>
      <c r="E287" s="197" t="s">
        <v>904</v>
      </c>
    </row>
    <row r="288" ht="21.75" customHeight="1">
      <c r="A288" s="167"/>
      <c r="B288" s="163" t="s">
        <v>557</v>
      </c>
      <c r="C288" s="164">
        <v>0.38</v>
      </c>
      <c r="D288" s="165" t="s">
        <v>14</v>
      </c>
      <c r="E288" s="166" t="s">
        <v>770</v>
      </c>
    </row>
    <row r="289" ht="21.75" customHeight="1">
      <c r="A289" s="199"/>
      <c r="B289" s="200" t="s">
        <v>581</v>
      </c>
      <c r="C289" s="201">
        <v>1.52</v>
      </c>
      <c r="D289" s="202" t="s">
        <v>14</v>
      </c>
      <c r="E289" s="203" t="s">
        <v>905</v>
      </c>
    </row>
    <row r="290" ht="21.75" customHeight="1">
      <c r="A290" s="187"/>
      <c r="B290" s="163" t="s">
        <v>553</v>
      </c>
      <c r="C290" s="164" t="s">
        <v>14</v>
      </c>
      <c r="D290" s="165" t="s">
        <v>621</v>
      </c>
      <c r="E290" s="166" t="s">
        <v>906</v>
      </c>
    </row>
    <row r="291" ht="21.75" customHeight="1">
      <c r="A291" s="193" t="s">
        <v>907</v>
      </c>
      <c r="B291" s="194" t="s">
        <v>908</v>
      </c>
      <c r="C291" s="195">
        <v>0.22</v>
      </c>
      <c r="D291" s="196">
        <v>0.09</v>
      </c>
      <c r="E291" s="197" t="s">
        <v>909</v>
      </c>
    </row>
    <row r="292" ht="21.75" customHeight="1">
      <c r="A292" s="198"/>
      <c r="B292" s="163" t="s">
        <v>555</v>
      </c>
      <c r="C292" s="164">
        <v>0.17</v>
      </c>
      <c r="D292" s="165" t="s">
        <v>14</v>
      </c>
      <c r="E292" s="166" t="s">
        <v>770</v>
      </c>
    </row>
    <row r="293" ht="21.75" customHeight="1">
      <c r="A293" s="167"/>
      <c r="B293" s="194" t="s">
        <v>556</v>
      </c>
      <c r="C293" s="195">
        <v>0.07</v>
      </c>
      <c r="D293" s="196" t="s">
        <v>14</v>
      </c>
      <c r="E293" s="197" t="s">
        <v>910</v>
      </c>
    </row>
    <row r="294" ht="21.75" customHeight="1">
      <c r="A294" s="167"/>
      <c r="B294" s="163" t="s">
        <v>557</v>
      </c>
      <c r="C294" s="164">
        <v>0.06</v>
      </c>
      <c r="D294" s="165" t="s">
        <v>14</v>
      </c>
      <c r="E294" s="166" t="s">
        <v>770</v>
      </c>
    </row>
    <row r="295" ht="21.75" customHeight="1">
      <c r="A295" s="199"/>
      <c r="B295" s="200" t="s">
        <v>623</v>
      </c>
      <c r="C295" s="201">
        <v>0.33</v>
      </c>
      <c r="D295" s="202" t="s">
        <v>14</v>
      </c>
      <c r="E295" s="203" t="s">
        <v>911</v>
      </c>
    </row>
    <row r="296" ht="21.75" customHeight="1">
      <c r="A296" s="175" t="s">
        <v>573</v>
      </c>
      <c r="B296" s="163" t="s">
        <v>595</v>
      </c>
      <c r="C296" s="164" t="s">
        <v>14</v>
      </c>
      <c r="D296" s="165" t="s">
        <v>14</v>
      </c>
      <c r="E296" s="166" t="s">
        <v>912</v>
      </c>
    </row>
    <row r="297" ht="21.75" customHeight="1">
      <c r="A297" s="193" t="s">
        <v>913</v>
      </c>
      <c r="B297" s="194" t="s">
        <v>554</v>
      </c>
      <c r="C297" s="195" t="s">
        <v>14</v>
      </c>
      <c r="D297" s="196" t="s">
        <v>14</v>
      </c>
      <c r="E297" s="197" t="s">
        <v>914</v>
      </c>
    </row>
    <row r="298" ht="21.75" customHeight="1">
      <c r="A298" s="198"/>
      <c r="B298" s="163" t="s">
        <v>555</v>
      </c>
      <c r="C298" s="164">
        <v>0.12</v>
      </c>
      <c r="D298" s="165" t="s">
        <v>14</v>
      </c>
      <c r="E298" s="166" t="s">
        <v>770</v>
      </c>
    </row>
    <row r="299" ht="21.75" customHeight="1">
      <c r="A299" s="167"/>
      <c r="B299" s="194" t="s">
        <v>556</v>
      </c>
      <c r="C299" s="195">
        <v>0.05</v>
      </c>
      <c r="D299" s="196" t="s">
        <v>14</v>
      </c>
      <c r="E299" s="197" t="s">
        <v>915</v>
      </c>
    </row>
    <row r="300" ht="21.75" customHeight="1">
      <c r="A300" s="167"/>
      <c r="B300" s="163" t="s">
        <v>557</v>
      </c>
      <c r="C300" s="164">
        <v>0.08</v>
      </c>
      <c r="D300" s="165" t="s">
        <v>14</v>
      </c>
      <c r="E300" s="166" t="s">
        <v>770</v>
      </c>
    </row>
    <row r="301" ht="21.75" customHeight="1">
      <c r="A301" s="199"/>
      <c r="B301" s="200" t="s">
        <v>411</v>
      </c>
      <c r="C301" s="201" t="s">
        <v>14</v>
      </c>
      <c r="D301" s="202" t="s">
        <v>14</v>
      </c>
      <c r="E301" s="203" t="s">
        <v>916</v>
      </c>
    </row>
    <row r="302" ht="21.75" customHeight="1">
      <c r="A302" s="175" t="s">
        <v>573</v>
      </c>
      <c r="B302" s="163" t="s">
        <v>595</v>
      </c>
      <c r="C302" s="164">
        <v>0.09</v>
      </c>
      <c r="D302" s="165">
        <v>0.085</v>
      </c>
      <c r="E302" s="166" t="s">
        <v>917</v>
      </c>
    </row>
    <row r="303" ht="21.75" customHeight="1">
      <c r="A303" s="193" t="s">
        <v>918</v>
      </c>
      <c r="B303" s="194" t="s">
        <v>598</v>
      </c>
      <c r="C303" s="195">
        <v>0.45</v>
      </c>
      <c r="D303" s="196" t="s">
        <v>14</v>
      </c>
      <c r="E303" s="197" t="s">
        <v>919</v>
      </c>
    </row>
    <row r="304" ht="21.75" customHeight="1">
      <c r="A304" s="198"/>
      <c r="B304" s="163" t="s">
        <v>751</v>
      </c>
      <c r="C304" s="164">
        <v>0.14</v>
      </c>
      <c r="D304" s="165">
        <v>0.085</v>
      </c>
      <c r="E304" s="166" t="s">
        <v>920</v>
      </c>
    </row>
    <row r="305" ht="21.75" customHeight="1">
      <c r="A305" s="167"/>
      <c r="B305" s="194" t="s">
        <v>854</v>
      </c>
      <c r="C305" s="195" t="s">
        <v>667</v>
      </c>
      <c r="D305" s="196" t="s">
        <v>14</v>
      </c>
      <c r="E305" s="197" t="s">
        <v>921</v>
      </c>
    </row>
    <row r="306" ht="21.75" customHeight="1">
      <c r="A306" s="167"/>
      <c r="B306" s="163" t="s">
        <v>922</v>
      </c>
      <c r="C306" s="164">
        <v>0.31</v>
      </c>
      <c r="D306" s="165" t="s">
        <v>14</v>
      </c>
      <c r="E306" s="166" t="s">
        <v>770</v>
      </c>
    </row>
    <row r="307" ht="21.75" customHeight="1">
      <c r="A307" s="199"/>
      <c r="B307" s="200" t="s">
        <v>659</v>
      </c>
      <c r="C307" s="201">
        <v>0.59</v>
      </c>
      <c r="D307" s="204" t="s">
        <v>387</v>
      </c>
      <c r="E307" s="203" t="s">
        <v>923</v>
      </c>
    </row>
    <row r="308" ht="21.75" customHeight="1">
      <c r="A308" s="187"/>
      <c r="B308" s="163" t="s">
        <v>765</v>
      </c>
      <c r="C308" s="164">
        <v>0.04</v>
      </c>
      <c r="D308" s="165">
        <v>0.05</v>
      </c>
      <c r="E308" s="166" t="s">
        <v>924</v>
      </c>
    </row>
    <row r="309" ht="21.75" customHeight="1">
      <c r="A309" s="193" t="s">
        <v>925</v>
      </c>
      <c r="B309" s="194" t="s">
        <v>611</v>
      </c>
      <c r="C309" s="195">
        <v>0.13</v>
      </c>
      <c r="D309" s="205" t="s">
        <v>14</v>
      </c>
      <c r="E309" s="197" t="s">
        <v>926</v>
      </c>
    </row>
    <row r="310" ht="21.75" customHeight="1">
      <c r="A310" s="198"/>
      <c r="B310" s="163" t="s">
        <v>555</v>
      </c>
      <c r="C310" s="164">
        <v>0.03</v>
      </c>
      <c r="D310" s="189" t="s">
        <v>14</v>
      </c>
      <c r="E310" s="166" t="s">
        <v>770</v>
      </c>
    </row>
    <row r="311" ht="21.75" customHeight="1">
      <c r="A311" s="167"/>
      <c r="B311" s="194" t="s">
        <v>556</v>
      </c>
      <c r="C311" s="206" t="s">
        <v>927</v>
      </c>
      <c r="D311" s="205" t="s">
        <v>14</v>
      </c>
      <c r="E311" s="197" t="s">
        <v>928</v>
      </c>
    </row>
    <row r="312" ht="21.75" customHeight="1">
      <c r="A312" s="167"/>
      <c r="B312" s="163" t="s">
        <v>557</v>
      </c>
      <c r="C312" s="164">
        <v>0.05</v>
      </c>
      <c r="D312" s="189" t="s">
        <v>14</v>
      </c>
      <c r="E312" s="166" t="s">
        <v>770</v>
      </c>
    </row>
    <row r="313" ht="21.75" customHeight="1">
      <c r="A313" s="199"/>
      <c r="B313" s="200" t="s">
        <v>581</v>
      </c>
      <c r="C313" s="201">
        <v>0.05</v>
      </c>
      <c r="D313" s="202">
        <v>0.12</v>
      </c>
      <c r="E313" s="203" t="s">
        <v>929</v>
      </c>
    </row>
    <row r="314" ht="21.75" customHeight="1">
      <c r="A314" s="207"/>
      <c r="B314" s="163" t="s">
        <v>765</v>
      </c>
      <c r="C314" s="164" t="s">
        <v>14</v>
      </c>
      <c r="D314" s="165" t="s">
        <v>616</v>
      </c>
      <c r="E314" s="166" t="s">
        <v>930</v>
      </c>
    </row>
    <row r="315" ht="21.75" customHeight="1">
      <c r="A315" s="208" t="s">
        <v>931</v>
      </c>
      <c r="B315" s="209" t="s">
        <v>611</v>
      </c>
      <c r="C315" s="210" t="s">
        <v>14</v>
      </c>
      <c r="D315" s="211">
        <v>0.15</v>
      </c>
      <c r="E315" s="212" t="s">
        <v>932</v>
      </c>
    </row>
    <row r="316" ht="21.75" customHeight="1">
      <c r="A316" s="213"/>
      <c r="B316" s="163" t="s">
        <v>555</v>
      </c>
      <c r="C316" s="164">
        <v>0.07</v>
      </c>
      <c r="D316" s="165" t="s">
        <v>14</v>
      </c>
      <c r="E316" s="166" t="s">
        <v>933</v>
      </c>
    </row>
    <row r="317" ht="21.75" customHeight="1">
      <c r="A317" s="167"/>
      <c r="B317" s="209" t="s">
        <v>854</v>
      </c>
      <c r="C317" s="210" t="s">
        <v>14</v>
      </c>
      <c r="D317" s="211" t="s">
        <v>934</v>
      </c>
      <c r="E317" s="212" t="s">
        <v>935</v>
      </c>
    </row>
    <row r="318" ht="21.75" customHeight="1">
      <c r="A318" s="167"/>
      <c r="B318" s="163" t="s">
        <v>922</v>
      </c>
      <c r="C318" s="164">
        <v>0.11</v>
      </c>
      <c r="D318" s="165">
        <v>0.04</v>
      </c>
      <c r="E318" s="166" t="s">
        <v>936</v>
      </c>
    </row>
    <row r="319" ht="21.75" customHeight="1">
      <c r="A319" s="214"/>
      <c r="B319" s="215" t="s">
        <v>581</v>
      </c>
      <c r="C319" s="216" t="s">
        <v>14</v>
      </c>
      <c r="D319" s="217">
        <v>0.195</v>
      </c>
      <c r="E319" s="218" t="s">
        <v>937</v>
      </c>
    </row>
    <row r="320" ht="21.75" customHeight="1">
      <c r="A320" s="175" t="s">
        <v>573</v>
      </c>
      <c r="B320" s="163" t="s">
        <v>765</v>
      </c>
      <c r="C320" s="164">
        <v>0.13</v>
      </c>
      <c r="D320" s="165" t="s">
        <v>14</v>
      </c>
      <c r="E320" s="166" t="s">
        <v>938</v>
      </c>
    </row>
    <row r="321" ht="21.75" customHeight="1">
      <c r="A321" s="208" t="s">
        <v>939</v>
      </c>
      <c r="B321" s="209" t="s">
        <v>611</v>
      </c>
      <c r="C321" s="210">
        <v>0.2</v>
      </c>
      <c r="D321" s="211" t="s">
        <v>14</v>
      </c>
      <c r="E321" s="212" t="s">
        <v>940</v>
      </c>
    </row>
    <row r="322" ht="21.75" customHeight="1">
      <c r="A322" s="213"/>
      <c r="B322" s="163" t="s">
        <v>555</v>
      </c>
      <c r="C322" s="164">
        <v>0.09</v>
      </c>
      <c r="D322" s="165" t="s">
        <v>14</v>
      </c>
      <c r="E322" s="166" t="s">
        <v>941</v>
      </c>
    </row>
    <row r="323" ht="21.75" customHeight="1">
      <c r="A323" s="167"/>
      <c r="B323" s="209" t="s">
        <v>903</v>
      </c>
      <c r="C323" s="210">
        <v>0.27</v>
      </c>
      <c r="D323" s="211" t="s">
        <v>14</v>
      </c>
      <c r="E323" s="212" t="s">
        <v>942</v>
      </c>
    </row>
    <row r="324" ht="21.75" customHeight="1">
      <c r="A324" s="167"/>
      <c r="B324" s="163" t="s">
        <v>557</v>
      </c>
      <c r="C324" s="164">
        <v>0.1</v>
      </c>
      <c r="D324" s="165" t="s">
        <v>14</v>
      </c>
      <c r="E324" s="166" t="s">
        <v>933</v>
      </c>
    </row>
    <row r="325" ht="21.75" customHeight="1">
      <c r="A325" s="214"/>
      <c r="B325" s="215" t="s">
        <v>659</v>
      </c>
      <c r="C325" s="216">
        <v>1.04</v>
      </c>
      <c r="D325" s="217" t="s">
        <v>14</v>
      </c>
      <c r="E325" s="218" t="s">
        <v>943</v>
      </c>
    </row>
    <row r="326" ht="21.75" customHeight="1">
      <c r="A326" s="207"/>
      <c r="B326" s="163" t="s">
        <v>553</v>
      </c>
      <c r="C326" s="164" t="s">
        <v>14</v>
      </c>
      <c r="D326" s="165" t="s">
        <v>673</v>
      </c>
      <c r="E326" s="166" t="s">
        <v>944</v>
      </c>
    </row>
    <row r="327" ht="21.75" customHeight="1">
      <c r="A327" s="208" t="s">
        <v>945</v>
      </c>
      <c r="B327" s="209" t="s">
        <v>554</v>
      </c>
      <c r="C327" s="210" t="s">
        <v>14</v>
      </c>
      <c r="D327" s="211" t="s">
        <v>14</v>
      </c>
      <c r="E327" s="212" t="s">
        <v>946</v>
      </c>
    </row>
    <row r="328" ht="21.75" customHeight="1">
      <c r="A328" s="213"/>
      <c r="B328" s="163" t="s">
        <v>555</v>
      </c>
      <c r="C328" s="164">
        <v>0.04</v>
      </c>
      <c r="D328" s="165" t="s">
        <v>14</v>
      </c>
      <c r="E328" s="166" t="s">
        <v>947</v>
      </c>
    </row>
    <row r="329" ht="21.75" customHeight="1">
      <c r="A329" s="167"/>
      <c r="B329" s="209" t="s">
        <v>579</v>
      </c>
      <c r="C329" s="210" t="s">
        <v>120</v>
      </c>
      <c r="D329" s="211" t="s">
        <v>14</v>
      </c>
      <c r="E329" s="212" t="s">
        <v>948</v>
      </c>
    </row>
    <row r="330" ht="21.75" customHeight="1">
      <c r="A330" s="167"/>
      <c r="B330" s="163" t="s">
        <v>557</v>
      </c>
      <c r="C330" s="164">
        <v>0.1</v>
      </c>
      <c r="D330" s="165" t="s">
        <v>14</v>
      </c>
      <c r="E330" s="166" t="s">
        <v>949</v>
      </c>
    </row>
    <row r="331" ht="21.75" customHeight="1">
      <c r="A331" s="214"/>
      <c r="B331" s="215" t="s">
        <v>581</v>
      </c>
      <c r="C331" s="216">
        <v>0.13</v>
      </c>
      <c r="D331" s="217">
        <v>0.09</v>
      </c>
      <c r="E331" s="218" t="s">
        <v>950</v>
      </c>
    </row>
    <row r="332" ht="21.75" customHeight="1">
      <c r="A332" s="207"/>
      <c r="B332" s="163" t="s">
        <v>553</v>
      </c>
      <c r="C332" s="164">
        <v>0.08</v>
      </c>
      <c r="D332" s="165" t="s">
        <v>14</v>
      </c>
      <c r="E332" s="166" t="s">
        <v>951</v>
      </c>
    </row>
    <row r="333" ht="21.75" customHeight="1">
      <c r="A333" s="208" t="s">
        <v>952</v>
      </c>
      <c r="B333" s="209" t="s">
        <v>554</v>
      </c>
      <c r="C333" s="210" t="s">
        <v>953</v>
      </c>
      <c r="D333" s="211" t="s">
        <v>14</v>
      </c>
      <c r="E333" s="212" t="s">
        <v>954</v>
      </c>
    </row>
    <row r="334" ht="21.75" customHeight="1">
      <c r="A334" s="213"/>
      <c r="B334" s="163" t="s">
        <v>555</v>
      </c>
      <c r="C334" s="164">
        <v>0.04</v>
      </c>
      <c r="D334" s="165" t="s">
        <v>14</v>
      </c>
      <c r="E334" s="166" t="s">
        <v>933</v>
      </c>
    </row>
    <row r="335" ht="21.75" customHeight="1">
      <c r="A335" s="167"/>
      <c r="B335" s="209" t="s">
        <v>556</v>
      </c>
      <c r="C335" s="210">
        <v>0.08</v>
      </c>
      <c r="D335" s="211" t="s">
        <v>14</v>
      </c>
      <c r="E335" s="212" t="s">
        <v>955</v>
      </c>
    </row>
    <row r="336" ht="21.75" customHeight="1">
      <c r="A336" s="167"/>
      <c r="B336" s="163" t="s">
        <v>557</v>
      </c>
      <c r="C336" s="164" t="s">
        <v>956</v>
      </c>
      <c r="D336" s="165" t="s">
        <v>14</v>
      </c>
      <c r="E336" s="166" t="s">
        <v>933</v>
      </c>
    </row>
    <row r="337" ht="21.75" customHeight="1">
      <c r="A337" s="214"/>
      <c r="B337" s="215" t="s">
        <v>581</v>
      </c>
      <c r="C337" s="216">
        <v>0.14</v>
      </c>
      <c r="D337" s="217">
        <v>0.09</v>
      </c>
      <c r="E337" s="218" t="s">
        <v>957</v>
      </c>
    </row>
    <row r="338" ht="21.75" customHeight="1">
      <c r="A338" s="175" t="s">
        <v>573</v>
      </c>
      <c r="B338" s="219" t="s">
        <v>553</v>
      </c>
      <c r="C338" s="164">
        <v>0.08</v>
      </c>
      <c r="D338" s="165" t="s">
        <v>14</v>
      </c>
      <c r="E338" s="166" t="s">
        <v>958</v>
      </c>
    </row>
    <row r="339" ht="21.75" customHeight="1">
      <c r="A339" s="208" t="s">
        <v>959</v>
      </c>
      <c r="B339" s="209" t="s">
        <v>598</v>
      </c>
      <c r="C339" s="210">
        <v>0.37</v>
      </c>
      <c r="D339" s="211" t="s">
        <v>14</v>
      </c>
      <c r="E339" s="212" t="s">
        <v>960</v>
      </c>
    </row>
    <row r="340" ht="21.75" customHeight="1">
      <c r="A340" s="213"/>
      <c r="B340" s="219" t="s">
        <v>555</v>
      </c>
      <c r="C340" s="164">
        <v>0.22</v>
      </c>
      <c r="D340" s="165" t="s">
        <v>14</v>
      </c>
      <c r="E340" s="166" t="s">
        <v>961</v>
      </c>
    </row>
    <row r="341" ht="21.75" customHeight="1">
      <c r="A341" s="167"/>
      <c r="B341" s="220" t="s">
        <v>556</v>
      </c>
      <c r="C341" s="210" t="s">
        <v>14</v>
      </c>
      <c r="D341" s="211" t="s">
        <v>962</v>
      </c>
      <c r="E341" s="212" t="s">
        <v>963</v>
      </c>
    </row>
    <row r="342" ht="21.75" customHeight="1">
      <c r="A342" s="167"/>
      <c r="B342" s="219" t="s">
        <v>557</v>
      </c>
      <c r="C342" s="164">
        <v>0.04</v>
      </c>
      <c r="D342" s="165" t="s">
        <v>14</v>
      </c>
      <c r="E342" s="166" t="s">
        <v>964</v>
      </c>
    </row>
    <row r="343" ht="21.75" customHeight="1">
      <c r="A343" s="214"/>
      <c r="B343" s="215" t="s">
        <v>614</v>
      </c>
      <c r="C343" s="216" t="s">
        <v>14</v>
      </c>
      <c r="D343" s="217" t="s">
        <v>120</v>
      </c>
      <c r="E343" s="218" t="s">
        <v>965</v>
      </c>
    </row>
    <row r="344" ht="21.75" customHeight="1">
      <c r="A344" s="175" t="s">
        <v>573</v>
      </c>
      <c r="B344" s="163" t="s">
        <v>765</v>
      </c>
      <c r="C344" s="164" t="s">
        <v>966</v>
      </c>
      <c r="D344" s="165" t="s">
        <v>14</v>
      </c>
      <c r="E344" s="166" t="s">
        <v>967</v>
      </c>
    </row>
    <row r="345" ht="21.75" customHeight="1">
      <c r="A345" s="208" t="s">
        <v>968</v>
      </c>
      <c r="B345" s="209" t="s">
        <v>611</v>
      </c>
      <c r="C345" s="210">
        <v>0.16</v>
      </c>
      <c r="D345" s="211" t="s">
        <v>14</v>
      </c>
      <c r="E345" s="212" t="s">
        <v>969</v>
      </c>
    </row>
    <row r="346" ht="21.75" customHeight="1">
      <c r="A346" s="213"/>
      <c r="B346" s="219" t="s">
        <v>555</v>
      </c>
      <c r="C346" s="164">
        <v>0.14</v>
      </c>
      <c r="D346" s="165" t="s">
        <v>14</v>
      </c>
      <c r="E346" s="166" t="s">
        <v>933</v>
      </c>
    </row>
    <row r="347" ht="21.75" customHeight="1">
      <c r="A347" s="167"/>
      <c r="B347" s="209" t="s">
        <v>590</v>
      </c>
      <c r="C347" s="210">
        <v>0.11</v>
      </c>
      <c r="D347" s="211">
        <v>0.1</v>
      </c>
      <c r="E347" s="212" t="s">
        <v>970</v>
      </c>
    </row>
    <row r="348" ht="21.75" customHeight="1">
      <c r="A348" s="167"/>
      <c r="B348" s="219" t="s">
        <v>557</v>
      </c>
      <c r="C348" s="164">
        <v>0.07</v>
      </c>
      <c r="D348" s="165" t="s">
        <v>14</v>
      </c>
      <c r="E348" s="166" t="s">
        <v>971</v>
      </c>
    </row>
    <row r="349" ht="21.75" customHeight="1">
      <c r="A349" s="214"/>
      <c r="B349" s="215" t="s">
        <v>581</v>
      </c>
      <c r="C349" s="216">
        <v>0.43</v>
      </c>
      <c r="D349" s="217" t="s">
        <v>14</v>
      </c>
      <c r="E349" s="218" t="s">
        <v>972</v>
      </c>
    </row>
    <row r="350" ht="21.75" customHeight="1">
      <c r="A350" s="221"/>
      <c r="B350" s="163" t="s">
        <v>553</v>
      </c>
      <c r="C350" s="164">
        <v>0.01</v>
      </c>
      <c r="D350" s="165" t="s">
        <v>14</v>
      </c>
      <c r="E350" s="166" t="s">
        <v>973</v>
      </c>
    </row>
    <row r="351" ht="21.75" customHeight="1">
      <c r="A351" s="208" t="s">
        <v>974</v>
      </c>
      <c r="B351" s="220" t="s">
        <v>554</v>
      </c>
      <c r="C351" s="210">
        <v>0.15</v>
      </c>
      <c r="D351" s="211" t="s">
        <v>14</v>
      </c>
      <c r="E351" s="212" t="s">
        <v>975</v>
      </c>
    </row>
    <row r="352" ht="21.75" customHeight="1">
      <c r="A352" s="213"/>
      <c r="B352" s="219" t="s">
        <v>555</v>
      </c>
      <c r="C352" s="164">
        <v>0.04</v>
      </c>
      <c r="D352" s="165" t="s">
        <v>14</v>
      </c>
      <c r="E352" s="166" t="s">
        <v>976</v>
      </c>
    </row>
    <row r="353" ht="21.75" customHeight="1">
      <c r="A353" s="167"/>
      <c r="B353" s="220" t="s">
        <v>556</v>
      </c>
      <c r="C353" s="210">
        <v>0.1</v>
      </c>
      <c r="D353" s="211">
        <v>0.05</v>
      </c>
      <c r="E353" s="212" t="s">
        <v>977</v>
      </c>
    </row>
    <row r="354" ht="21.75" customHeight="1">
      <c r="A354" s="167"/>
      <c r="B354" s="219" t="s">
        <v>557</v>
      </c>
      <c r="C354" s="164">
        <v>0.08</v>
      </c>
      <c r="D354" s="165" t="s">
        <v>14</v>
      </c>
      <c r="E354" s="166" t="s">
        <v>933</v>
      </c>
    </row>
    <row r="355" ht="21.75" customHeight="1">
      <c r="A355" s="214"/>
      <c r="B355" s="215" t="s">
        <v>978</v>
      </c>
      <c r="C355" s="216">
        <v>0.13</v>
      </c>
      <c r="D355" s="217" t="s">
        <v>14</v>
      </c>
      <c r="E355" s="218" t="s">
        <v>979</v>
      </c>
    </row>
    <row r="356" ht="21.75" customHeight="1">
      <c r="A356" s="175" t="s">
        <v>573</v>
      </c>
      <c r="B356" s="163" t="s">
        <v>742</v>
      </c>
      <c r="C356" s="164">
        <v>0.16</v>
      </c>
      <c r="D356" s="165" t="s">
        <v>14</v>
      </c>
      <c r="E356" s="166" t="s">
        <v>980</v>
      </c>
    </row>
    <row r="357" ht="21.75" customHeight="1">
      <c r="A357" s="208" t="s">
        <v>981</v>
      </c>
      <c r="B357" s="209" t="s">
        <v>726</v>
      </c>
      <c r="C357" s="210">
        <v>0.26</v>
      </c>
      <c r="D357" s="211" t="s">
        <v>14</v>
      </c>
      <c r="E357" s="212" t="s">
        <v>982</v>
      </c>
    </row>
    <row r="358" ht="21.75" customHeight="1">
      <c r="A358" s="213"/>
      <c r="B358" s="219" t="s">
        <v>555</v>
      </c>
      <c r="C358" s="164">
        <v>0.08</v>
      </c>
      <c r="D358" s="165" t="s">
        <v>14</v>
      </c>
      <c r="E358" s="166" t="s">
        <v>933</v>
      </c>
    </row>
    <row r="359" ht="21.75" customHeight="1">
      <c r="A359" s="167"/>
      <c r="B359" s="220" t="s">
        <v>556</v>
      </c>
      <c r="C359" s="210">
        <v>0.21</v>
      </c>
      <c r="D359" s="211" t="s">
        <v>14</v>
      </c>
      <c r="E359" s="212" t="s">
        <v>983</v>
      </c>
    </row>
    <row r="360" ht="21.75" customHeight="1">
      <c r="A360" s="167"/>
      <c r="B360" s="219" t="s">
        <v>557</v>
      </c>
      <c r="C360" s="164">
        <v>0.065</v>
      </c>
      <c r="D360" s="165" t="s">
        <v>14</v>
      </c>
      <c r="E360" s="166" t="s">
        <v>933</v>
      </c>
    </row>
    <row r="361" ht="21.75" customHeight="1">
      <c r="A361" s="214"/>
      <c r="B361" s="215" t="s">
        <v>581</v>
      </c>
      <c r="C361" s="216">
        <v>0.77</v>
      </c>
      <c r="D361" s="217" t="s">
        <v>14</v>
      </c>
      <c r="E361" s="218" t="s">
        <v>984</v>
      </c>
    </row>
    <row r="362" ht="21.75" customHeight="1">
      <c r="A362" s="175" t="s">
        <v>573</v>
      </c>
      <c r="B362" s="163" t="s">
        <v>742</v>
      </c>
      <c r="C362" s="164">
        <v>0.06</v>
      </c>
      <c r="D362" s="165" t="s">
        <v>14</v>
      </c>
      <c r="E362" s="166" t="s">
        <v>985</v>
      </c>
    </row>
    <row r="363" ht="21.75" customHeight="1">
      <c r="A363" s="208" t="s">
        <v>986</v>
      </c>
      <c r="B363" s="220" t="s">
        <v>554</v>
      </c>
      <c r="C363" s="210">
        <v>0.17</v>
      </c>
      <c r="D363" s="211" t="s">
        <v>14</v>
      </c>
      <c r="E363" s="212" t="s">
        <v>987</v>
      </c>
    </row>
    <row r="364" ht="21.75" customHeight="1">
      <c r="A364" s="213"/>
      <c r="B364" s="219" t="s">
        <v>555</v>
      </c>
      <c r="C364" s="164">
        <v>0.06</v>
      </c>
      <c r="D364" s="165" t="s">
        <v>14</v>
      </c>
      <c r="E364" s="166" t="s">
        <v>933</v>
      </c>
    </row>
    <row r="365" ht="21.75" customHeight="1">
      <c r="A365" s="167"/>
      <c r="B365" s="220" t="s">
        <v>556</v>
      </c>
      <c r="C365" s="210" t="s">
        <v>14</v>
      </c>
      <c r="D365" s="211" t="s">
        <v>616</v>
      </c>
      <c r="E365" s="212" t="s">
        <v>988</v>
      </c>
    </row>
    <row r="366" ht="21.75" customHeight="1">
      <c r="A366" s="167"/>
      <c r="B366" s="219" t="s">
        <v>557</v>
      </c>
      <c r="C366" s="164">
        <v>0.02</v>
      </c>
      <c r="D366" s="165" t="s">
        <v>14</v>
      </c>
      <c r="E366" s="166" t="s">
        <v>933</v>
      </c>
    </row>
    <row r="367" ht="21.75" customHeight="1">
      <c r="A367" s="214"/>
      <c r="B367" s="222" t="s">
        <v>411</v>
      </c>
      <c r="C367" s="216">
        <v>0.19</v>
      </c>
      <c r="D367" s="217" t="s">
        <v>14</v>
      </c>
      <c r="E367" s="218" t="s">
        <v>989</v>
      </c>
    </row>
    <row r="368" ht="21.75" customHeight="1">
      <c r="A368" s="221"/>
      <c r="B368" s="163" t="s">
        <v>553</v>
      </c>
      <c r="C368" s="164" t="s">
        <v>14</v>
      </c>
      <c r="D368" s="165" t="s">
        <v>14</v>
      </c>
      <c r="E368" s="166" t="s">
        <v>990</v>
      </c>
    </row>
    <row r="369" ht="21.75" customHeight="1">
      <c r="A369" s="208" t="s">
        <v>991</v>
      </c>
      <c r="B369" s="209" t="s">
        <v>789</v>
      </c>
      <c r="C369" s="210">
        <v>0.39</v>
      </c>
      <c r="D369" s="211" t="s">
        <v>14</v>
      </c>
      <c r="E369" s="212" t="s">
        <v>992</v>
      </c>
    </row>
    <row r="370" ht="21.75" customHeight="1">
      <c r="A370" s="213"/>
      <c r="B370" s="219" t="s">
        <v>555</v>
      </c>
      <c r="C370" s="164">
        <v>0.005</v>
      </c>
      <c r="D370" s="165" t="s">
        <v>14</v>
      </c>
      <c r="E370" s="166" t="s">
        <v>933</v>
      </c>
    </row>
    <row r="371" ht="21.75" customHeight="1">
      <c r="A371" s="167"/>
      <c r="B371" s="220" t="s">
        <v>556</v>
      </c>
      <c r="C371" s="210">
        <v>0.065</v>
      </c>
      <c r="D371" s="211" t="s">
        <v>14</v>
      </c>
      <c r="E371" s="212" t="s">
        <v>993</v>
      </c>
    </row>
    <row r="372" ht="21.75" customHeight="1">
      <c r="A372" s="167"/>
      <c r="B372" s="219" t="s">
        <v>557</v>
      </c>
      <c r="C372" s="164">
        <v>0.01</v>
      </c>
      <c r="D372" s="165" t="s">
        <v>14</v>
      </c>
      <c r="E372" s="166" t="s">
        <v>933</v>
      </c>
    </row>
    <row r="373" ht="21.75" customHeight="1">
      <c r="A373" s="214"/>
      <c r="B373" s="222" t="s">
        <v>411</v>
      </c>
      <c r="C373" s="216">
        <v>0.09</v>
      </c>
      <c r="D373" s="217" t="s">
        <v>14</v>
      </c>
      <c r="E373" s="218" t="s">
        <v>994</v>
      </c>
    </row>
    <row r="374" ht="21.75" customHeight="1">
      <c r="A374" s="221"/>
      <c r="B374" s="163" t="s">
        <v>553</v>
      </c>
      <c r="C374" s="164" t="s">
        <v>14</v>
      </c>
      <c r="D374" s="165" t="s">
        <v>14</v>
      </c>
      <c r="E374" s="166" t="s">
        <v>995</v>
      </c>
    </row>
    <row r="375" ht="21.75" customHeight="1">
      <c r="A375" s="208" t="s">
        <v>996</v>
      </c>
      <c r="B375" s="209" t="s">
        <v>611</v>
      </c>
      <c r="C375" s="210">
        <v>0.24</v>
      </c>
      <c r="D375" s="223" t="s">
        <v>14</v>
      </c>
      <c r="E375" s="212" t="s">
        <v>997</v>
      </c>
    </row>
    <row r="376" ht="21.75" customHeight="1">
      <c r="A376" s="213"/>
      <c r="B376" s="219" t="s">
        <v>555</v>
      </c>
      <c r="C376" s="164">
        <v>0.13</v>
      </c>
      <c r="D376" s="165" t="s">
        <v>14</v>
      </c>
      <c r="E376" s="166" t="s">
        <v>933</v>
      </c>
    </row>
    <row r="377" ht="21.75" customHeight="1">
      <c r="A377" s="167"/>
      <c r="B377" s="220" t="s">
        <v>556</v>
      </c>
      <c r="C377" s="210">
        <v>0.175</v>
      </c>
      <c r="D377" s="211" t="s">
        <v>14</v>
      </c>
      <c r="E377" s="212" t="s">
        <v>998</v>
      </c>
    </row>
    <row r="378" ht="21.75" customHeight="1">
      <c r="A378" s="167"/>
      <c r="B378" s="219" t="s">
        <v>557</v>
      </c>
      <c r="C378" s="164">
        <v>0.07</v>
      </c>
      <c r="D378" s="165">
        <v>0.04</v>
      </c>
      <c r="E378" s="166" t="s">
        <v>999</v>
      </c>
    </row>
    <row r="379" ht="21.75" customHeight="1">
      <c r="A379" s="214"/>
      <c r="B379" s="215" t="s">
        <v>581</v>
      </c>
      <c r="C379" s="216">
        <v>0.26</v>
      </c>
      <c r="D379" s="217">
        <v>0.2</v>
      </c>
      <c r="E379" s="218" t="s">
        <v>1000</v>
      </c>
    </row>
    <row r="380" ht="21.75" customHeight="1">
      <c r="A380" s="221"/>
      <c r="B380" s="163" t="s">
        <v>553</v>
      </c>
      <c r="C380" s="164" t="s">
        <v>14</v>
      </c>
      <c r="D380" s="165" t="s">
        <v>838</v>
      </c>
      <c r="E380" s="166" t="s">
        <v>1001</v>
      </c>
    </row>
    <row r="381" ht="21.75" customHeight="1">
      <c r="A381" s="208" t="s">
        <v>1002</v>
      </c>
      <c r="B381" s="209" t="s">
        <v>726</v>
      </c>
      <c r="C381" s="210">
        <v>0.08</v>
      </c>
      <c r="D381" s="211">
        <v>0.065</v>
      </c>
      <c r="E381" s="212" t="s">
        <v>1003</v>
      </c>
    </row>
    <row r="382" ht="21.75" customHeight="1">
      <c r="A382" s="213"/>
      <c r="B382" s="219" t="s">
        <v>555</v>
      </c>
      <c r="C382" s="164">
        <v>0.07</v>
      </c>
      <c r="D382" s="165" t="s">
        <v>14</v>
      </c>
      <c r="E382" s="166" t="s">
        <v>933</v>
      </c>
    </row>
    <row r="383" ht="21.75" customHeight="1">
      <c r="A383" s="167"/>
      <c r="B383" s="220" t="s">
        <v>556</v>
      </c>
      <c r="C383" s="210" t="s">
        <v>14</v>
      </c>
      <c r="D383" s="211" t="s">
        <v>663</v>
      </c>
      <c r="E383" s="212" t="s">
        <v>1004</v>
      </c>
    </row>
    <row r="384" ht="21.75" customHeight="1">
      <c r="A384" s="167"/>
      <c r="B384" s="219" t="s">
        <v>557</v>
      </c>
      <c r="C384" s="164">
        <v>0.025</v>
      </c>
      <c r="D384" s="165" t="s">
        <v>14</v>
      </c>
      <c r="E384" s="166" t="s">
        <v>933</v>
      </c>
    </row>
    <row r="385" ht="21.75" customHeight="1">
      <c r="A385" s="214"/>
      <c r="B385" s="215" t="s">
        <v>581</v>
      </c>
      <c r="C385" s="216">
        <v>0.125</v>
      </c>
      <c r="D385" s="217" t="s">
        <v>14</v>
      </c>
      <c r="E385" s="218" t="s">
        <v>1005</v>
      </c>
    </row>
    <row r="386" ht="21.75" customHeight="1">
      <c r="A386" s="221"/>
      <c r="B386" s="163" t="s">
        <v>553</v>
      </c>
      <c r="C386" s="164" t="s">
        <v>833</v>
      </c>
      <c r="D386" s="165" t="s">
        <v>14</v>
      </c>
      <c r="E386" s="166" t="s">
        <v>1006</v>
      </c>
    </row>
    <row r="387" ht="21.75" customHeight="1">
      <c r="A387" s="208" t="s">
        <v>1007</v>
      </c>
      <c r="B387" s="220" t="s">
        <v>554</v>
      </c>
      <c r="C387" s="210" t="s">
        <v>14</v>
      </c>
      <c r="D387" s="211" t="s">
        <v>14</v>
      </c>
      <c r="E387" s="212" t="s">
        <v>1008</v>
      </c>
    </row>
    <row r="388" ht="21.75" customHeight="1">
      <c r="A388" s="213"/>
      <c r="B388" s="219" t="s">
        <v>555</v>
      </c>
      <c r="C388" s="164">
        <v>0.15</v>
      </c>
      <c r="D388" s="165" t="s">
        <v>14</v>
      </c>
      <c r="E388" s="166" t="s">
        <v>933</v>
      </c>
    </row>
    <row r="389" ht="21.75" customHeight="1">
      <c r="A389" s="167"/>
      <c r="B389" s="220" t="s">
        <v>556</v>
      </c>
      <c r="C389" s="210" t="s">
        <v>14</v>
      </c>
      <c r="D389" s="211" t="s">
        <v>14</v>
      </c>
      <c r="E389" s="212" t="s">
        <v>1009</v>
      </c>
    </row>
    <row r="390" ht="21.75" customHeight="1">
      <c r="A390" s="167"/>
      <c r="B390" s="219" t="s">
        <v>557</v>
      </c>
      <c r="C390" s="164">
        <v>0.03</v>
      </c>
      <c r="D390" s="165" t="s">
        <v>14</v>
      </c>
      <c r="E390" s="166" t="s">
        <v>933</v>
      </c>
    </row>
    <row r="391" ht="21.75" customHeight="1">
      <c r="A391" s="214"/>
      <c r="B391" s="222" t="s">
        <v>411</v>
      </c>
      <c r="C391" s="216">
        <v>0.11</v>
      </c>
      <c r="D391" s="217" t="s">
        <v>14</v>
      </c>
      <c r="E391" s="218" t="s">
        <v>1010</v>
      </c>
    </row>
    <row r="392" ht="21.75" customHeight="1">
      <c r="A392" s="221"/>
      <c r="B392" s="163" t="s">
        <v>553</v>
      </c>
      <c r="C392" s="164">
        <v>0.06</v>
      </c>
      <c r="D392" s="165" t="s">
        <v>14</v>
      </c>
      <c r="E392" s="166" t="s">
        <v>1011</v>
      </c>
    </row>
    <row r="393" ht="21.75" customHeight="1">
      <c r="A393" s="208" t="s">
        <v>1012</v>
      </c>
      <c r="B393" s="220" t="s">
        <v>554</v>
      </c>
      <c r="C393" s="210">
        <v>0.06</v>
      </c>
      <c r="D393" s="211" t="s">
        <v>14</v>
      </c>
      <c r="E393" s="212" t="s">
        <v>1013</v>
      </c>
    </row>
    <row r="394" ht="21.75" customHeight="1">
      <c r="A394" s="213"/>
      <c r="B394" s="219" t="s">
        <v>555</v>
      </c>
      <c r="C394" s="164">
        <v>0.04</v>
      </c>
      <c r="D394" s="165" t="s">
        <v>14</v>
      </c>
      <c r="E394" s="166" t="s">
        <v>933</v>
      </c>
    </row>
    <row r="395" ht="21.75" customHeight="1">
      <c r="A395" s="167"/>
      <c r="B395" s="209" t="s">
        <v>854</v>
      </c>
      <c r="C395" s="210">
        <v>0.05</v>
      </c>
      <c r="D395" s="211">
        <v>0.08</v>
      </c>
      <c r="E395" s="212" t="s">
        <v>1014</v>
      </c>
    </row>
    <row r="396" ht="21.75" customHeight="1">
      <c r="A396" s="167"/>
      <c r="B396" s="219" t="s">
        <v>557</v>
      </c>
      <c r="C396" s="164">
        <v>0.05</v>
      </c>
      <c r="D396" s="165" t="s">
        <v>14</v>
      </c>
      <c r="E396" s="166" t="s">
        <v>933</v>
      </c>
    </row>
    <row r="397" ht="21.75" customHeight="1">
      <c r="A397" s="214"/>
      <c r="B397" s="215" t="s">
        <v>614</v>
      </c>
      <c r="C397" s="216">
        <v>0.025</v>
      </c>
      <c r="D397" s="217" t="s">
        <v>14</v>
      </c>
      <c r="E397" s="218" t="s">
        <v>1015</v>
      </c>
    </row>
    <row r="398" ht="21.75" customHeight="1">
      <c r="A398" s="221"/>
      <c r="B398" s="163" t="s">
        <v>553</v>
      </c>
      <c r="C398" s="164" t="s">
        <v>14</v>
      </c>
      <c r="D398" s="165" t="s">
        <v>14</v>
      </c>
      <c r="E398" s="166" t="s">
        <v>1016</v>
      </c>
    </row>
    <row r="399" ht="21.75" customHeight="1">
      <c r="A399" s="208" t="s">
        <v>1017</v>
      </c>
      <c r="B399" s="220" t="s">
        <v>554</v>
      </c>
      <c r="C399" s="210">
        <v>0.035</v>
      </c>
      <c r="D399" s="211" t="s">
        <v>14</v>
      </c>
      <c r="E399" s="212" t="s">
        <v>1018</v>
      </c>
    </row>
    <row r="400" ht="21.75" customHeight="1">
      <c r="A400" s="213"/>
      <c r="B400" s="219" t="s">
        <v>555</v>
      </c>
      <c r="C400" s="164">
        <v>0.08</v>
      </c>
      <c r="D400" s="165" t="s">
        <v>14</v>
      </c>
      <c r="E400" s="166" t="s">
        <v>933</v>
      </c>
    </row>
    <row r="401" ht="21.75" customHeight="1">
      <c r="A401" s="167"/>
      <c r="B401" s="220" t="s">
        <v>556</v>
      </c>
      <c r="C401" s="210">
        <v>0.025</v>
      </c>
      <c r="D401" s="211" t="s">
        <v>14</v>
      </c>
      <c r="E401" s="212" t="s">
        <v>1019</v>
      </c>
    </row>
    <row r="402" ht="21.75" customHeight="1">
      <c r="A402" s="167"/>
      <c r="B402" s="219" t="s">
        <v>557</v>
      </c>
      <c r="C402" s="164">
        <v>0.01</v>
      </c>
      <c r="D402" s="165" t="s">
        <v>14</v>
      </c>
      <c r="E402" s="166" t="s">
        <v>933</v>
      </c>
    </row>
    <row r="403" ht="21.75" customHeight="1">
      <c r="A403" s="214"/>
      <c r="B403" s="215" t="s">
        <v>592</v>
      </c>
      <c r="C403" s="216">
        <v>0.28</v>
      </c>
      <c r="D403" s="217" t="s">
        <v>14</v>
      </c>
      <c r="E403" s="218" t="s">
        <v>1020</v>
      </c>
    </row>
    <row r="404" ht="21.75" customHeight="1">
      <c r="A404" s="175" t="s">
        <v>573</v>
      </c>
      <c r="B404" s="163" t="s">
        <v>553</v>
      </c>
      <c r="C404" s="164">
        <v>0.015</v>
      </c>
      <c r="D404" s="165" t="s">
        <v>14</v>
      </c>
      <c r="E404" s="166" t="s">
        <v>1021</v>
      </c>
    </row>
    <row r="405" ht="21.75" customHeight="1">
      <c r="A405" s="208" t="s">
        <v>1022</v>
      </c>
      <c r="B405" s="220" t="s">
        <v>554</v>
      </c>
      <c r="C405" s="210" t="s">
        <v>1023</v>
      </c>
      <c r="D405" s="211" t="s">
        <v>14</v>
      </c>
      <c r="E405" s="212" t="s">
        <v>1024</v>
      </c>
    </row>
    <row r="406" ht="21.75" customHeight="1">
      <c r="A406" s="213"/>
      <c r="B406" s="219" t="s">
        <v>555</v>
      </c>
      <c r="C406" s="164">
        <v>0.05</v>
      </c>
      <c r="D406" s="165" t="s">
        <v>14</v>
      </c>
      <c r="E406" s="166" t="s">
        <v>933</v>
      </c>
    </row>
    <row r="407" ht="21.75" customHeight="1">
      <c r="A407" s="167"/>
      <c r="B407" s="220" t="s">
        <v>556</v>
      </c>
      <c r="C407" s="210">
        <v>0.12</v>
      </c>
      <c r="D407" s="211" t="s">
        <v>14</v>
      </c>
      <c r="E407" s="212" t="s">
        <v>1025</v>
      </c>
    </row>
    <row r="408" ht="21.75" customHeight="1">
      <c r="A408" s="167"/>
      <c r="B408" s="219" t="s">
        <v>557</v>
      </c>
      <c r="C408" s="164">
        <v>0.05</v>
      </c>
      <c r="D408" s="165" t="s">
        <v>14</v>
      </c>
      <c r="E408" s="166" t="s">
        <v>933</v>
      </c>
    </row>
    <row r="409" ht="21.75" customHeight="1">
      <c r="A409" s="214"/>
      <c r="B409" s="222" t="s">
        <v>411</v>
      </c>
      <c r="C409" s="216">
        <v>0.11</v>
      </c>
      <c r="D409" s="217" t="s">
        <v>14</v>
      </c>
      <c r="E409" s="218" t="s">
        <v>1026</v>
      </c>
    </row>
    <row r="410" ht="21.75" customHeight="1">
      <c r="A410" s="175" t="s">
        <v>573</v>
      </c>
      <c r="B410" s="163" t="s">
        <v>553</v>
      </c>
      <c r="C410" s="164">
        <v>0.03</v>
      </c>
      <c r="D410" s="165" t="s">
        <v>14</v>
      </c>
      <c r="E410" s="166" t="s">
        <v>1027</v>
      </c>
    </row>
    <row r="411" ht="21.75" customHeight="1">
      <c r="A411" s="208" t="s">
        <v>1028</v>
      </c>
      <c r="B411" s="220" t="s">
        <v>554</v>
      </c>
      <c r="C411" s="210">
        <v>0.19</v>
      </c>
      <c r="D411" s="211" t="s">
        <v>14</v>
      </c>
      <c r="E411" s="212" t="s">
        <v>1029</v>
      </c>
    </row>
    <row r="412" ht="21.75" customHeight="1">
      <c r="A412" s="213"/>
      <c r="B412" s="219" t="s">
        <v>555</v>
      </c>
      <c r="C412" s="164">
        <v>0.04</v>
      </c>
      <c r="D412" s="165" t="s">
        <v>14</v>
      </c>
      <c r="E412" s="166" t="s">
        <v>933</v>
      </c>
    </row>
    <row r="413" ht="21.75" customHeight="1">
      <c r="A413" s="167"/>
      <c r="B413" s="220" t="s">
        <v>556</v>
      </c>
      <c r="C413" s="210" t="s">
        <v>14</v>
      </c>
      <c r="D413" s="211" t="s">
        <v>14</v>
      </c>
      <c r="E413" s="212" t="s">
        <v>1030</v>
      </c>
    </row>
    <row r="414" ht="21.75" customHeight="1">
      <c r="A414" s="167"/>
      <c r="B414" s="219" t="s">
        <v>557</v>
      </c>
      <c r="C414" s="164">
        <v>0.03</v>
      </c>
      <c r="D414" s="165" t="s">
        <v>1031</v>
      </c>
      <c r="E414" s="166" t="s">
        <v>933</v>
      </c>
    </row>
    <row r="415" ht="21.75" customHeight="1">
      <c r="A415" s="214"/>
      <c r="B415" s="215" t="s">
        <v>978</v>
      </c>
      <c r="C415" s="216" t="s">
        <v>14</v>
      </c>
      <c r="D415" s="217" t="s">
        <v>1032</v>
      </c>
      <c r="E415" s="218" t="s">
        <v>1033</v>
      </c>
    </row>
    <row r="416" ht="21.75" customHeight="1">
      <c r="A416" s="175" t="s">
        <v>573</v>
      </c>
      <c r="B416" s="163" t="s">
        <v>765</v>
      </c>
      <c r="C416" s="164">
        <v>0.17</v>
      </c>
      <c r="D416" s="165">
        <v>0.14</v>
      </c>
      <c r="E416" s="166" t="s">
        <v>1034</v>
      </c>
    </row>
    <row r="417" ht="21.75" customHeight="1">
      <c r="A417" s="208" t="s">
        <v>1035</v>
      </c>
      <c r="B417" s="209" t="s">
        <v>598</v>
      </c>
      <c r="C417" s="210">
        <v>0.3</v>
      </c>
      <c r="D417" s="211" t="s">
        <v>14</v>
      </c>
      <c r="E417" s="212" t="s">
        <v>1036</v>
      </c>
    </row>
    <row r="418" ht="21.75" customHeight="1">
      <c r="A418" s="213"/>
      <c r="B418" s="219" t="s">
        <v>555</v>
      </c>
      <c r="C418" s="164">
        <v>0.02</v>
      </c>
      <c r="D418" s="165" t="s">
        <v>14</v>
      </c>
      <c r="E418" s="166" t="s">
        <v>933</v>
      </c>
    </row>
    <row r="419" ht="21.75" customHeight="1">
      <c r="A419" s="167"/>
      <c r="B419" s="220" t="s">
        <v>556</v>
      </c>
      <c r="C419" s="210" t="s">
        <v>1037</v>
      </c>
      <c r="D419" s="211" t="s">
        <v>14</v>
      </c>
      <c r="E419" s="212" t="s">
        <v>1038</v>
      </c>
    </row>
    <row r="420" ht="21.75" customHeight="1">
      <c r="A420" s="167"/>
      <c r="B420" s="219" t="s">
        <v>557</v>
      </c>
      <c r="C420" s="164">
        <v>0.01</v>
      </c>
      <c r="D420" s="165" t="s">
        <v>14</v>
      </c>
      <c r="E420" s="166" t="s">
        <v>933</v>
      </c>
    </row>
    <row r="421" ht="21.75" customHeight="1">
      <c r="A421" s="214"/>
      <c r="B421" s="215" t="s">
        <v>581</v>
      </c>
      <c r="C421" s="216">
        <v>0.79</v>
      </c>
      <c r="D421" s="217" t="s">
        <v>14</v>
      </c>
      <c r="E421" s="218" t="s">
        <v>1039</v>
      </c>
    </row>
    <row r="422" ht="21.75" customHeight="1">
      <c r="A422" s="175" t="s">
        <v>573</v>
      </c>
      <c r="B422" s="163" t="s">
        <v>1040</v>
      </c>
      <c r="C422" s="164">
        <v>0.33</v>
      </c>
      <c r="D422" s="165" t="s">
        <v>14</v>
      </c>
      <c r="E422" s="166" t="s">
        <v>1041</v>
      </c>
    </row>
    <row r="423" ht="21.75" customHeight="1">
      <c r="A423" s="208" t="s">
        <v>1042</v>
      </c>
      <c r="B423" s="209" t="s">
        <v>598</v>
      </c>
      <c r="C423" s="210">
        <v>0.44</v>
      </c>
      <c r="D423" s="211">
        <v>0.19</v>
      </c>
      <c r="E423" s="212" t="s">
        <v>1043</v>
      </c>
    </row>
    <row r="424" ht="21.75" customHeight="1">
      <c r="A424" s="213"/>
      <c r="B424" s="219" t="s">
        <v>555</v>
      </c>
      <c r="C424" s="164">
        <v>0.21</v>
      </c>
      <c r="D424" s="165" t="s">
        <v>14</v>
      </c>
      <c r="E424" s="166" t="s">
        <v>933</v>
      </c>
    </row>
    <row r="425" ht="21.75" customHeight="1">
      <c r="A425" s="167"/>
      <c r="B425" s="220" t="s">
        <v>556</v>
      </c>
      <c r="C425" s="210">
        <v>0.24</v>
      </c>
      <c r="D425" s="211" t="s">
        <v>14</v>
      </c>
      <c r="E425" s="212" t="s">
        <v>1044</v>
      </c>
    </row>
    <row r="426" ht="21.75" customHeight="1">
      <c r="A426" s="167"/>
      <c r="B426" s="219" t="s">
        <v>557</v>
      </c>
      <c r="C426" s="164">
        <v>0.04</v>
      </c>
      <c r="D426" s="165" t="s">
        <v>14</v>
      </c>
      <c r="E426" s="166" t="s">
        <v>1045</v>
      </c>
    </row>
    <row r="427" ht="21.75" customHeight="1">
      <c r="A427" s="214"/>
      <c r="B427" s="215" t="s">
        <v>581</v>
      </c>
      <c r="C427" s="216">
        <v>0.9</v>
      </c>
      <c r="D427" s="217">
        <v>0.08</v>
      </c>
      <c r="E427" s="218" t="s">
        <v>1046</v>
      </c>
    </row>
    <row r="428" ht="21.75" customHeight="1">
      <c r="A428" s="175" t="s">
        <v>573</v>
      </c>
      <c r="B428" s="163" t="s">
        <v>595</v>
      </c>
      <c r="C428" s="164">
        <v>0.13</v>
      </c>
      <c r="D428" s="224" t="s">
        <v>1047</v>
      </c>
      <c r="E428" s="166" t="s">
        <v>1048</v>
      </c>
    </row>
    <row r="429" ht="21.75" customHeight="1">
      <c r="A429" s="225" t="s">
        <v>1049</v>
      </c>
      <c r="B429" s="226" t="s">
        <v>677</v>
      </c>
      <c r="C429" s="227">
        <v>0.13</v>
      </c>
      <c r="D429" s="228" t="s">
        <v>387</v>
      </c>
      <c r="E429" s="229" t="s">
        <v>1050</v>
      </c>
    </row>
    <row r="430" ht="21.75" customHeight="1">
      <c r="A430" s="230"/>
      <c r="B430" s="163" t="s">
        <v>555</v>
      </c>
      <c r="C430" s="164">
        <v>0.17</v>
      </c>
      <c r="D430" s="165" t="s">
        <v>14</v>
      </c>
      <c r="E430" s="166" t="s">
        <v>1051</v>
      </c>
    </row>
    <row r="431" ht="21.75" customHeight="1">
      <c r="A431" s="167"/>
      <c r="B431" s="226" t="s">
        <v>556</v>
      </c>
      <c r="C431" s="227">
        <v>0.03</v>
      </c>
      <c r="D431" s="228" t="s">
        <v>387</v>
      </c>
      <c r="E431" s="229" t="s">
        <v>1052</v>
      </c>
    </row>
    <row r="432" ht="21.75" customHeight="1">
      <c r="A432" s="167"/>
      <c r="B432" s="163" t="s">
        <v>557</v>
      </c>
      <c r="C432" s="164">
        <v>0.035</v>
      </c>
      <c r="D432" s="165" t="s">
        <v>14</v>
      </c>
      <c r="E432" s="166" t="s">
        <v>1053</v>
      </c>
    </row>
    <row r="433" ht="21.75" customHeight="1">
      <c r="A433" s="231"/>
      <c r="B433" s="232" t="s">
        <v>1054</v>
      </c>
      <c r="C433" s="233">
        <v>1.02</v>
      </c>
      <c r="D433" s="234" t="s">
        <v>14</v>
      </c>
      <c r="E433" s="235" t="s">
        <v>1055</v>
      </c>
    </row>
    <row r="434" ht="21.75" customHeight="1">
      <c r="A434" s="236"/>
      <c r="B434" s="163" t="s">
        <v>553</v>
      </c>
      <c r="C434" s="164" t="s">
        <v>14</v>
      </c>
      <c r="D434" s="165" t="s">
        <v>14</v>
      </c>
      <c r="E434" s="166" t="s">
        <v>1056</v>
      </c>
    </row>
    <row r="435" ht="21.75" customHeight="1">
      <c r="A435" s="225" t="s">
        <v>1057</v>
      </c>
      <c r="B435" s="226" t="s">
        <v>554</v>
      </c>
      <c r="C435" s="227">
        <v>0.15</v>
      </c>
      <c r="D435" s="237" t="s">
        <v>14</v>
      </c>
      <c r="E435" s="229" t="s">
        <v>1058</v>
      </c>
    </row>
    <row r="436" ht="21.75" customHeight="1">
      <c r="A436" s="230"/>
      <c r="B436" s="163" t="s">
        <v>555</v>
      </c>
      <c r="C436" s="164">
        <v>0.15</v>
      </c>
      <c r="D436" s="165" t="s">
        <v>14</v>
      </c>
      <c r="E436" s="166" t="s">
        <v>933</v>
      </c>
    </row>
    <row r="437" ht="21.75" customHeight="1">
      <c r="A437" s="167"/>
      <c r="B437" s="226" t="s">
        <v>903</v>
      </c>
      <c r="C437" s="227">
        <v>0.16</v>
      </c>
      <c r="D437" s="237" t="s">
        <v>14</v>
      </c>
      <c r="E437" s="229" t="s">
        <v>1059</v>
      </c>
    </row>
    <row r="438" ht="21.75" customHeight="1">
      <c r="A438" s="167"/>
      <c r="B438" s="163" t="s">
        <v>557</v>
      </c>
      <c r="C438" s="164">
        <v>0.07</v>
      </c>
      <c r="D438" s="165" t="s">
        <v>14</v>
      </c>
      <c r="E438" s="166" t="s">
        <v>933</v>
      </c>
    </row>
    <row r="439" ht="21.75" customHeight="1">
      <c r="A439" s="231"/>
      <c r="B439" s="232" t="s">
        <v>614</v>
      </c>
      <c r="C439" s="233">
        <v>0.61</v>
      </c>
      <c r="D439" s="234" t="s">
        <v>14</v>
      </c>
      <c r="E439" s="235" t="s">
        <v>1060</v>
      </c>
    </row>
    <row r="440" ht="21.75" customHeight="1">
      <c r="A440" s="175" t="s">
        <v>573</v>
      </c>
      <c r="B440" s="163" t="s">
        <v>553</v>
      </c>
      <c r="C440" s="164">
        <v>0.1</v>
      </c>
      <c r="D440" s="165" t="s">
        <v>14</v>
      </c>
      <c r="E440" s="166" t="s">
        <v>1061</v>
      </c>
    </row>
    <row r="441" ht="21.75" customHeight="1">
      <c r="A441" s="225" t="s">
        <v>1062</v>
      </c>
      <c r="B441" s="226" t="s">
        <v>554</v>
      </c>
      <c r="C441" s="227">
        <v>0.21</v>
      </c>
      <c r="D441" s="237" t="s">
        <v>14</v>
      </c>
      <c r="E441" s="229" t="s">
        <v>1063</v>
      </c>
    </row>
    <row r="442" ht="21.75" customHeight="1">
      <c r="A442" s="230"/>
      <c r="B442" s="163" t="s">
        <v>555</v>
      </c>
      <c r="C442" s="164">
        <v>0.07</v>
      </c>
      <c r="D442" s="165" t="s">
        <v>14</v>
      </c>
      <c r="E442" s="166" t="s">
        <v>933</v>
      </c>
    </row>
    <row r="443" ht="21.75" customHeight="1">
      <c r="A443" s="167"/>
      <c r="B443" s="226" t="s">
        <v>556</v>
      </c>
      <c r="C443" s="227">
        <v>0.19</v>
      </c>
      <c r="D443" s="237" t="s">
        <v>14</v>
      </c>
      <c r="E443" s="229" t="s">
        <v>1064</v>
      </c>
    </row>
    <row r="444" ht="21.75" customHeight="1">
      <c r="A444" s="167"/>
      <c r="B444" s="163" t="s">
        <v>557</v>
      </c>
      <c r="C444" s="164">
        <v>0.04</v>
      </c>
      <c r="D444" s="165" t="s">
        <v>14</v>
      </c>
      <c r="E444" s="166" t="s">
        <v>1065</v>
      </c>
    </row>
    <row r="445" ht="21.75" customHeight="1">
      <c r="A445" s="231"/>
      <c r="B445" s="232" t="s">
        <v>581</v>
      </c>
      <c r="C445" s="233">
        <v>0.36</v>
      </c>
      <c r="D445" s="234" t="s">
        <v>14</v>
      </c>
      <c r="E445" s="235" t="s">
        <v>1066</v>
      </c>
    </row>
    <row r="446" ht="21.75" customHeight="1">
      <c r="A446" s="236"/>
      <c r="B446" s="163" t="s">
        <v>553</v>
      </c>
      <c r="C446" s="164" t="s">
        <v>14</v>
      </c>
      <c r="D446" s="165" t="s">
        <v>14</v>
      </c>
      <c r="E446" s="166" t="s">
        <v>1067</v>
      </c>
    </row>
    <row r="447" ht="21.75" customHeight="1">
      <c r="A447" s="225" t="s">
        <v>1068</v>
      </c>
      <c r="B447" s="226" t="s">
        <v>598</v>
      </c>
      <c r="C447" s="227" t="s">
        <v>14</v>
      </c>
      <c r="D447" s="237" t="s">
        <v>14</v>
      </c>
      <c r="E447" s="229" t="s">
        <v>1069</v>
      </c>
    </row>
    <row r="448" ht="21.75" customHeight="1">
      <c r="A448" s="230"/>
      <c r="B448" s="163" t="s">
        <v>555</v>
      </c>
      <c r="C448" s="164">
        <v>0.07</v>
      </c>
      <c r="D448" s="165" t="s">
        <v>14</v>
      </c>
      <c r="E448" s="166" t="s">
        <v>933</v>
      </c>
    </row>
    <row r="449" ht="21.75" customHeight="1">
      <c r="A449" s="167"/>
      <c r="B449" s="226" t="s">
        <v>590</v>
      </c>
      <c r="C449" s="227" t="s">
        <v>1070</v>
      </c>
      <c r="D449" s="237" t="s">
        <v>14</v>
      </c>
      <c r="E449" s="229" t="s">
        <v>1071</v>
      </c>
    </row>
    <row r="450" ht="21.75" customHeight="1">
      <c r="A450" s="167"/>
      <c r="B450" s="163" t="s">
        <v>557</v>
      </c>
      <c r="C450" s="164">
        <v>0.1</v>
      </c>
      <c r="D450" s="165">
        <v>0.025</v>
      </c>
      <c r="E450" s="166" t="s">
        <v>1072</v>
      </c>
    </row>
    <row r="451" ht="21.75" customHeight="1">
      <c r="A451" s="231"/>
      <c r="B451" s="232" t="s">
        <v>592</v>
      </c>
      <c r="C451" s="233">
        <v>1.36</v>
      </c>
      <c r="D451" s="234">
        <v>0.37</v>
      </c>
      <c r="E451" s="235" t="s">
        <v>1073</v>
      </c>
    </row>
    <row r="452" ht="21.75" customHeight="1">
      <c r="A452" s="236"/>
      <c r="B452" s="163" t="s">
        <v>553</v>
      </c>
      <c r="C452" s="164" t="s">
        <v>120</v>
      </c>
      <c r="D452" s="165" t="s">
        <v>14</v>
      </c>
      <c r="E452" s="166" t="s">
        <v>1074</v>
      </c>
    </row>
    <row r="453" ht="21.75" customHeight="1">
      <c r="A453" s="225" t="s">
        <v>1075</v>
      </c>
      <c r="B453" s="226" t="s">
        <v>554</v>
      </c>
      <c r="C453" s="227" t="s">
        <v>14</v>
      </c>
      <c r="D453" s="237" t="s">
        <v>14</v>
      </c>
      <c r="E453" s="229" t="s">
        <v>1076</v>
      </c>
    </row>
    <row r="454" ht="21.75" customHeight="1">
      <c r="A454" s="230"/>
      <c r="B454" s="163" t="s">
        <v>555</v>
      </c>
      <c r="C454" s="164">
        <v>0.07</v>
      </c>
      <c r="D454" s="165" t="s">
        <v>14</v>
      </c>
      <c r="E454" s="166" t="s">
        <v>933</v>
      </c>
    </row>
    <row r="455" ht="21.75" customHeight="1">
      <c r="A455" s="167"/>
      <c r="B455" s="226" t="s">
        <v>556</v>
      </c>
      <c r="C455" s="227" t="s">
        <v>1077</v>
      </c>
      <c r="D455" s="237" t="s">
        <v>14</v>
      </c>
      <c r="E455" s="229" t="s">
        <v>1078</v>
      </c>
    </row>
    <row r="456" ht="21.75" customHeight="1">
      <c r="A456" s="167"/>
      <c r="B456" s="163" t="s">
        <v>557</v>
      </c>
      <c r="C456" s="164">
        <v>0.04</v>
      </c>
      <c r="D456" s="165" t="s">
        <v>14</v>
      </c>
      <c r="E456" s="166" t="s">
        <v>933</v>
      </c>
    </row>
    <row r="457" ht="21.75" customHeight="1">
      <c r="A457" s="231"/>
      <c r="B457" s="232" t="s">
        <v>411</v>
      </c>
      <c r="C457" s="233">
        <v>0.11</v>
      </c>
      <c r="D457" s="234" t="s">
        <v>14</v>
      </c>
      <c r="E457" s="235" t="s">
        <v>1079</v>
      </c>
    </row>
    <row r="458" ht="21.75" customHeight="1">
      <c r="A458" s="236"/>
      <c r="B458" s="163" t="s">
        <v>595</v>
      </c>
      <c r="C458" s="164" t="s">
        <v>14</v>
      </c>
      <c r="D458" s="165" t="s">
        <v>14</v>
      </c>
      <c r="E458" s="166" t="s">
        <v>1080</v>
      </c>
    </row>
    <row r="459" ht="21.75" customHeight="1">
      <c r="A459" s="225" t="s">
        <v>1081</v>
      </c>
      <c r="B459" s="226" t="s">
        <v>554</v>
      </c>
      <c r="C459" s="227">
        <v>0.025</v>
      </c>
      <c r="D459" s="237" t="s">
        <v>14</v>
      </c>
      <c r="E459" s="229" t="s">
        <v>1082</v>
      </c>
    </row>
    <row r="460" ht="21.75" customHeight="1">
      <c r="A460" s="230"/>
      <c r="B460" s="163" t="s">
        <v>555</v>
      </c>
      <c r="C460" s="164">
        <v>0.01</v>
      </c>
      <c r="D460" s="165" t="s">
        <v>1083</v>
      </c>
      <c r="E460" s="166" t="s">
        <v>933</v>
      </c>
    </row>
    <row r="461" ht="21.75" customHeight="1">
      <c r="A461" s="167"/>
      <c r="B461" s="226" t="s">
        <v>556</v>
      </c>
      <c r="C461" s="227" t="s">
        <v>1084</v>
      </c>
      <c r="D461" s="237"/>
      <c r="E461" s="229" t="s">
        <v>1085</v>
      </c>
    </row>
    <row r="462" ht="21.75" customHeight="1">
      <c r="A462" s="167"/>
      <c r="B462" s="163" t="s">
        <v>557</v>
      </c>
      <c r="C462" s="164">
        <v>0.08</v>
      </c>
      <c r="D462" s="165" t="s">
        <v>14</v>
      </c>
      <c r="E462" s="166" t="s">
        <v>933</v>
      </c>
    </row>
    <row r="463" ht="21.75" customHeight="1">
      <c r="A463" s="231"/>
      <c r="B463" s="232" t="s">
        <v>614</v>
      </c>
      <c r="C463" s="233">
        <v>0.08</v>
      </c>
      <c r="D463" s="234" t="s">
        <v>14</v>
      </c>
      <c r="E463" s="235" t="s">
        <v>1086</v>
      </c>
    </row>
    <row r="464" ht="21.75" customHeight="1">
      <c r="A464" s="175" t="s">
        <v>573</v>
      </c>
      <c r="B464" s="163" t="s">
        <v>1087</v>
      </c>
      <c r="C464" s="164">
        <v>0.18</v>
      </c>
      <c r="D464" s="165" t="s">
        <v>14</v>
      </c>
      <c r="E464" s="166" t="s">
        <v>1088</v>
      </c>
    </row>
    <row r="465" ht="21.75" customHeight="1">
      <c r="A465" s="225" t="s">
        <v>1089</v>
      </c>
      <c r="B465" s="226" t="s">
        <v>726</v>
      </c>
      <c r="C465" s="227">
        <v>0.06</v>
      </c>
      <c r="D465" s="237">
        <v>0.19</v>
      </c>
      <c r="E465" s="229" t="s">
        <v>1090</v>
      </c>
    </row>
    <row r="466" ht="21.75" customHeight="1">
      <c r="A466" s="230"/>
      <c r="B466" s="163" t="s">
        <v>555</v>
      </c>
      <c r="C466" s="164">
        <v>0.02</v>
      </c>
      <c r="D466" s="165" t="s">
        <v>14</v>
      </c>
      <c r="E466" s="166" t="s">
        <v>933</v>
      </c>
    </row>
    <row r="467" ht="21.75" customHeight="1">
      <c r="A467" s="167"/>
      <c r="B467" s="226" t="s">
        <v>556</v>
      </c>
      <c r="C467" s="227" t="s">
        <v>1091</v>
      </c>
      <c r="D467" s="237" t="s">
        <v>14</v>
      </c>
      <c r="E467" s="229" t="s">
        <v>1092</v>
      </c>
    </row>
    <row r="468" ht="21.75" customHeight="1">
      <c r="A468" s="167"/>
      <c r="B468" s="163" t="s">
        <v>557</v>
      </c>
      <c r="C468" s="164">
        <v>0.06</v>
      </c>
      <c r="D468" s="165" t="s">
        <v>14</v>
      </c>
      <c r="E468" s="166" t="s">
        <v>933</v>
      </c>
    </row>
    <row r="469" ht="21.75" customHeight="1">
      <c r="A469" s="231"/>
      <c r="B469" s="232" t="s">
        <v>614</v>
      </c>
      <c r="C469" s="233">
        <v>0.67</v>
      </c>
      <c r="D469" s="234" t="s">
        <v>14</v>
      </c>
      <c r="E469" s="235" t="s">
        <v>1093</v>
      </c>
    </row>
    <row r="470" ht="21.75" customHeight="1">
      <c r="A470" s="175" t="s">
        <v>573</v>
      </c>
      <c r="B470" s="163" t="s">
        <v>1040</v>
      </c>
      <c r="C470" s="164">
        <v>0.06</v>
      </c>
      <c r="D470" s="165" t="s">
        <v>14</v>
      </c>
      <c r="E470" s="166" t="s">
        <v>1094</v>
      </c>
    </row>
    <row r="471" ht="21.75" customHeight="1">
      <c r="A471" s="225" t="s">
        <v>1095</v>
      </c>
      <c r="B471" s="226" t="s">
        <v>554</v>
      </c>
      <c r="C471" s="227" t="s">
        <v>14</v>
      </c>
      <c r="D471" s="237" t="s">
        <v>14</v>
      </c>
      <c r="E471" s="229" t="s">
        <v>1096</v>
      </c>
    </row>
    <row r="472" ht="21.75" customHeight="1">
      <c r="A472" s="230"/>
      <c r="B472" s="163" t="s">
        <v>555</v>
      </c>
      <c r="C472" s="164">
        <v>0.03</v>
      </c>
      <c r="D472" s="165" t="s">
        <v>14</v>
      </c>
      <c r="E472" s="166" t="s">
        <v>933</v>
      </c>
    </row>
    <row r="473" ht="21.75" customHeight="1">
      <c r="A473" s="167"/>
      <c r="B473" s="226" t="s">
        <v>556</v>
      </c>
      <c r="C473" s="227" t="s">
        <v>14</v>
      </c>
      <c r="D473" s="237" t="s">
        <v>14</v>
      </c>
      <c r="E473" s="229" t="s">
        <v>1097</v>
      </c>
    </row>
    <row r="474" ht="21.75" customHeight="1">
      <c r="A474" s="167"/>
      <c r="B474" s="163" t="s">
        <v>557</v>
      </c>
      <c r="C474" s="164">
        <v>0.04</v>
      </c>
      <c r="D474" s="165" t="s">
        <v>14</v>
      </c>
      <c r="E474" s="166" t="s">
        <v>1098</v>
      </c>
    </row>
    <row r="475" ht="21.75" customHeight="1">
      <c r="A475" s="231"/>
      <c r="B475" s="232" t="s">
        <v>411</v>
      </c>
      <c r="C475" s="233" t="s">
        <v>120</v>
      </c>
      <c r="D475" s="234" t="s">
        <v>14</v>
      </c>
      <c r="E475" s="235" t="s">
        <v>1099</v>
      </c>
    </row>
    <row r="476" ht="21.75" customHeight="1">
      <c r="A476" s="236" t="s">
        <v>573</v>
      </c>
      <c r="B476" s="163" t="s">
        <v>553</v>
      </c>
      <c r="C476" s="164">
        <v>0.1</v>
      </c>
      <c r="D476" s="165" t="s">
        <v>14</v>
      </c>
      <c r="E476" s="166" t="s">
        <v>1100</v>
      </c>
    </row>
    <row r="477" ht="21.75" customHeight="1">
      <c r="A477" s="225" t="s">
        <v>1101</v>
      </c>
      <c r="B477" s="226" t="s">
        <v>598</v>
      </c>
      <c r="C477" s="227" t="s">
        <v>14</v>
      </c>
      <c r="D477" s="237" t="s">
        <v>120</v>
      </c>
      <c r="E477" s="229" t="s">
        <v>1102</v>
      </c>
    </row>
    <row r="478" ht="21.75" customHeight="1">
      <c r="A478" s="230"/>
      <c r="B478" s="163" t="s">
        <v>555</v>
      </c>
      <c r="C478" s="164">
        <v>0.11</v>
      </c>
      <c r="D478" s="165" t="s">
        <v>1083</v>
      </c>
      <c r="E478" s="166" t="s">
        <v>933</v>
      </c>
    </row>
    <row r="479" ht="21.75" customHeight="1">
      <c r="A479" s="167"/>
      <c r="B479" s="226" t="s">
        <v>590</v>
      </c>
      <c r="C479" s="227">
        <v>0.3</v>
      </c>
      <c r="D479" s="237">
        <v>0.27</v>
      </c>
      <c r="E479" s="229" t="s">
        <v>1103</v>
      </c>
    </row>
    <row r="480" ht="21.75" customHeight="1">
      <c r="A480" s="167"/>
      <c r="B480" s="163" t="s">
        <v>557</v>
      </c>
      <c r="C480" s="164">
        <v>0.1</v>
      </c>
      <c r="D480" s="165" t="s">
        <v>14</v>
      </c>
      <c r="E480" s="166" t="s">
        <v>933</v>
      </c>
    </row>
    <row r="481" ht="21.75" customHeight="1">
      <c r="A481" s="231"/>
      <c r="B481" s="232" t="s">
        <v>411</v>
      </c>
      <c r="C481" s="233" t="s">
        <v>14</v>
      </c>
      <c r="D481" s="234" t="s">
        <v>14</v>
      </c>
      <c r="E481" s="235" t="s">
        <v>1104</v>
      </c>
    </row>
    <row r="482" ht="21.75" customHeight="1">
      <c r="A482" s="236"/>
      <c r="B482" s="163" t="s">
        <v>1040</v>
      </c>
      <c r="C482" s="164">
        <v>0.06</v>
      </c>
      <c r="D482" s="165" t="s">
        <v>14</v>
      </c>
      <c r="E482" s="166" t="s">
        <v>1105</v>
      </c>
    </row>
    <row r="483" ht="21.75" customHeight="1">
      <c r="A483" s="225" t="s">
        <v>1106</v>
      </c>
      <c r="B483" s="226" t="s">
        <v>554</v>
      </c>
      <c r="C483" s="227">
        <v>0.05</v>
      </c>
      <c r="D483" s="237" t="s">
        <v>14</v>
      </c>
      <c r="E483" s="229" t="s">
        <v>1107</v>
      </c>
    </row>
    <row r="484" ht="21.75" customHeight="1">
      <c r="A484" s="230"/>
      <c r="B484" s="163" t="s">
        <v>555</v>
      </c>
      <c r="C484" s="164">
        <v>0.02</v>
      </c>
      <c r="D484" s="165" t="s">
        <v>14</v>
      </c>
      <c r="E484" s="166" t="s">
        <v>933</v>
      </c>
    </row>
    <row r="485" ht="21.75" customHeight="1">
      <c r="A485" s="167"/>
      <c r="B485" s="226" t="s">
        <v>579</v>
      </c>
      <c r="C485" s="227" t="s">
        <v>120</v>
      </c>
      <c r="D485" s="237" t="s">
        <v>14</v>
      </c>
      <c r="E485" s="229" t="s">
        <v>1108</v>
      </c>
    </row>
    <row r="486" ht="21.75" customHeight="1">
      <c r="A486" s="167"/>
      <c r="B486" s="163" t="s">
        <v>557</v>
      </c>
      <c r="C486" s="164">
        <v>0.03</v>
      </c>
      <c r="D486" s="165" t="s">
        <v>14</v>
      </c>
      <c r="E486" s="166" t="s">
        <v>933</v>
      </c>
    </row>
    <row r="487" ht="21.75" customHeight="1">
      <c r="A487" s="231"/>
      <c r="B487" s="232" t="s">
        <v>581</v>
      </c>
      <c r="C487" s="233">
        <v>0.01</v>
      </c>
      <c r="D487" s="234">
        <v>0.085</v>
      </c>
      <c r="E487" s="235" t="s">
        <v>1109</v>
      </c>
    </row>
    <row r="488" ht="21.75" customHeight="1">
      <c r="A488" s="236"/>
      <c r="B488" s="163" t="s">
        <v>553</v>
      </c>
      <c r="C488" s="164" t="s">
        <v>14</v>
      </c>
      <c r="D488" s="165" t="s">
        <v>14</v>
      </c>
      <c r="E488" s="166" t="s">
        <v>1110</v>
      </c>
    </row>
    <row r="489" ht="21.75" customHeight="1">
      <c r="A489" s="225" t="s">
        <v>1111</v>
      </c>
      <c r="B489" s="226" t="s">
        <v>554</v>
      </c>
      <c r="C489" s="227" t="s">
        <v>14</v>
      </c>
      <c r="D489" s="237" t="s">
        <v>14</v>
      </c>
      <c r="E489" s="229" t="s">
        <v>1112</v>
      </c>
    </row>
    <row r="490" ht="21.75" customHeight="1">
      <c r="A490" s="230"/>
      <c r="B490" s="163" t="s">
        <v>555</v>
      </c>
      <c r="C490" s="164">
        <v>0.09</v>
      </c>
      <c r="D490" s="165" t="s">
        <v>14</v>
      </c>
      <c r="E490" s="166" t="s">
        <v>933</v>
      </c>
    </row>
    <row r="491" ht="21.75" customHeight="1">
      <c r="A491" s="167"/>
      <c r="B491" s="226" t="s">
        <v>556</v>
      </c>
      <c r="C491" s="227" t="s">
        <v>14</v>
      </c>
      <c r="D491" s="237" t="s">
        <v>14</v>
      </c>
      <c r="E491" s="229" t="s">
        <v>1113</v>
      </c>
    </row>
    <row r="492" ht="21.75" customHeight="1">
      <c r="A492" s="167"/>
      <c r="B492" s="163" t="s">
        <v>557</v>
      </c>
      <c r="C492" s="164">
        <v>0.06</v>
      </c>
      <c r="D492" s="165" t="s">
        <v>14</v>
      </c>
      <c r="E492" s="166" t="s">
        <v>933</v>
      </c>
    </row>
    <row r="493" ht="21.75" customHeight="1">
      <c r="A493" s="231"/>
      <c r="B493" s="232" t="s">
        <v>411</v>
      </c>
      <c r="C493" s="233">
        <v>0.1</v>
      </c>
      <c r="D493" s="234">
        <v>0.09</v>
      </c>
      <c r="E493" s="235" t="s">
        <v>1114</v>
      </c>
    </row>
    <row r="494" ht="21.75" customHeight="1">
      <c r="A494" s="175" t="s">
        <v>573</v>
      </c>
      <c r="B494" s="163" t="s">
        <v>742</v>
      </c>
      <c r="C494" s="164">
        <v>0.24</v>
      </c>
      <c r="D494" s="165" t="s">
        <v>1115</v>
      </c>
      <c r="E494" s="166" t="s">
        <v>1116</v>
      </c>
    </row>
    <row r="495" ht="21.75" customHeight="1">
      <c r="A495" s="225" t="s">
        <v>1117</v>
      </c>
      <c r="B495" s="226" t="s">
        <v>598</v>
      </c>
      <c r="C495" s="227">
        <v>0.07</v>
      </c>
      <c r="D495" s="237">
        <v>0.265</v>
      </c>
      <c r="E495" s="229" t="s">
        <v>1118</v>
      </c>
    </row>
    <row r="496" ht="21.75" customHeight="1">
      <c r="A496" s="230"/>
      <c r="B496" s="163" t="s">
        <v>555</v>
      </c>
      <c r="C496" s="164">
        <v>0.11</v>
      </c>
      <c r="D496" s="165" t="s">
        <v>1119</v>
      </c>
      <c r="E496" s="166" t="s">
        <v>1120</v>
      </c>
    </row>
    <row r="497" ht="21.75" customHeight="1">
      <c r="A497" s="167"/>
      <c r="B497" s="226" t="s">
        <v>556</v>
      </c>
      <c r="C497" s="227" t="s">
        <v>14</v>
      </c>
      <c r="D497" s="237" t="s">
        <v>1121</v>
      </c>
      <c r="E497" s="229" t="s">
        <v>1122</v>
      </c>
    </row>
    <row r="498" ht="21.75" customHeight="1">
      <c r="A498" s="167"/>
      <c r="B498" s="163" t="s">
        <v>557</v>
      </c>
      <c r="C498" s="164">
        <v>0.1</v>
      </c>
      <c r="D498" s="165" t="s">
        <v>14</v>
      </c>
      <c r="E498" s="166" t="s">
        <v>1123</v>
      </c>
    </row>
    <row r="499" ht="21.75" customHeight="1">
      <c r="A499" s="231"/>
      <c r="B499" s="232" t="s">
        <v>659</v>
      </c>
      <c r="C499" s="233">
        <v>22.05</v>
      </c>
      <c r="D499" s="234" t="s">
        <v>14</v>
      </c>
      <c r="E499" s="235" t="s">
        <v>1124</v>
      </c>
    </row>
    <row r="500" ht="21.75" customHeight="1">
      <c r="A500" s="207"/>
      <c r="B500" s="163" t="s">
        <v>553</v>
      </c>
      <c r="C500" s="164">
        <v>0.11</v>
      </c>
      <c r="D500" s="165" t="s">
        <v>14</v>
      </c>
      <c r="E500" s="166" t="s">
        <v>1125</v>
      </c>
    </row>
    <row r="501" ht="21.75" customHeight="1">
      <c r="A501" s="225" t="s">
        <v>1126</v>
      </c>
      <c r="B501" s="226" t="s">
        <v>611</v>
      </c>
      <c r="C501" s="227" t="s">
        <v>14</v>
      </c>
      <c r="D501" s="237" t="s">
        <v>14</v>
      </c>
      <c r="E501" s="229" t="s">
        <v>1127</v>
      </c>
    </row>
    <row r="502" ht="21.75" customHeight="1">
      <c r="A502" s="230"/>
      <c r="B502" s="163" t="s">
        <v>555</v>
      </c>
      <c r="C502" s="164">
        <v>0.04</v>
      </c>
      <c r="D502" s="165" t="s">
        <v>593</v>
      </c>
      <c r="E502" s="166" t="s">
        <v>933</v>
      </c>
    </row>
    <row r="503" ht="21.75" customHeight="1">
      <c r="A503" s="167"/>
      <c r="B503" s="226" t="s">
        <v>771</v>
      </c>
      <c r="C503" s="227">
        <v>0.05</v>
      </c>
      <c r="D503" s="237" t="s">
        <v>120</v>
      </c>
      <c r="E503" s="229" t="s">
        <v>1128</v>
      </c>
    </row>
    <row r="504" ht="21.75" customHeight="1">
      <c r="A504" s="167"/>
      <c r="B504" s="163" t="s">
        <v>557</v>
      </c>
      <c r="C504" s="164">
        <v>0.05</v>
      </c>
      <c r="D504" s="165" t="s">
        <v>14</v>
      </c>
      <c r="E504" s="166" t="s">
        <v>933</v>
      </c>
    </row>
    <row r="505" ht="21.75" customHeight="1">
      <c r="A505" s="231"/>
      <c r="B505" s="232" t="s">
        <v>1129</v>
      </c>
      <c r="C505" s="233">
        <v>0.53</v>
      </c>
      <c r="D505" s="234" t="s">
        <v>14</v>
      </c>
      <c r="E505" s="235" t="s">
        <v>1130</v>
      </c>
    </row>
    <row r="506" ht="21.75" customHeight="1">
      <c r="A506" s="175" t="s">
        <v>573</v>
      </c>
      <c r="B506" s="163" t="s">
        <v>553</v>
      </c>
      <c r="C506" s="164">
        <v>0.27</v>
      </c>
      <c r="D506" s="165" t="s">
        <v>14</v>
      </c>
      <c r="E506" s="166" t="s">
        <v>1131</v>
      </c>
    </row>
    <row r="507" ht="21.75" customHeight="1">
      <c r="A507" s="225" t="s">
        <v>1132</v>
      </c>
      <c r="B507" s="226" t="s">
        <v>598</v>
      </c>
      <c r="C507" s="227" t="s">
        <v>14</v>
      </c>
      <c r="D507" s="237">
        <v>0.12</v>
      </c>
      <c r="E507" s="229" t="s">
        <v>1133</v>
      </c>
    </row>
    <row r="508" ht="21.75" customHeight="1">
      <c r="A508" s="230"/>
      <c r="B508" s="163" t="s">
        <v>555</v>
      </c>
      <c r="C508" s="164">
        <v>0.06</v>
      </c>
      <c r="D508" s="165" t="s">
        <v>14</v>
      </c>
      <c r="E508" s="166" t="s">
        <v>1134</v>
      </c>
    </row>
    <row r="509" ht="21.75" customHeight="1">
      <c r="A509" s="167"/>
      <c r="B509" s="226" t="s">
        <v>854</v>
      </c>
      <c r="C509" s="227" t="s">
        <v>14</v>
      </c>
      <c r="D509" s="237" t="s">
        <v>1037</v>
      </c>
      <c r="E509" s="229" t="s">
        <v>1135</v>
      </c>
    </row>
    <row r="510" ht="21.75" customHeight="1">
      <c r="A510" s="167"/>
      <c r="B510" s="163" t="s">
        <v>557</v>
      </c>
      <c r="C510" s="164">
        <v>0.01</v>
      </c>
      <c r="D510" s="165" t="s">
        <v>1136</v>
      </c>
      <c r="E510" s="166" t="s">
        <v>1137</v>
      </c>
    </row>
    <row r="511" ht="21.75" customHeight="1">
      <c r="A511" s="231"/>
      <c r="B511" s="232" t="s">
        <v>581</v>
      </c>
      <c r="C511" s="233">
        <v>0.28</v>
      </c>
      <c r="D511" s="234" t="s">
        <v>14</v>
      </c>
      <c r="E511" s="235" t="s">
        <v>1138</v>
      </c>
    </row>
    <row r="512" ht="21.75" customHeight="1">
      <c r="A512" s="175" t="s">
        <v>573</v>
      </c>
      <c r="B512" s="163" t="s">
        <v>553</v>
      </c>
      <c r="C512" s="164" t="s">
        <v>14</v>
      </c>
      <c r="D512" s="165" t="s">
        <v>14</v>
      </c>
      <c r="E512" s="166" t="s">
        <v>1139</v>
      </c>
    </row>
    <row r="513" ht="21.75" customHeight="1">
      <c r="A513" s="225" t="s">
        <v>1140</v>
      </c>
      <c r="B513" s="226" t="s">
        <v>554</v>
      </c>
      <c r="C513" s="227">
        <v>0.11</v>
      </c>
      <c r="D513" s="237" t="s">
        <v>1141</v>
      </c>
      <c r="E513" s="229" t="s">
        <v>1142</v>
      </c>
    </row>
    <row r="514" ht="21.75" customHeight="1">
      <c r="A514" s="230"/>
      <c r="B514" s="163" t="s">
        <v>555</v>
      </c>
      <c r="C514" s="164">
        <v>0.12</v>
      </c>
      <c r="D514" s="165" t="s">
        <v>14</v>
      </c>
      <c r="E514" s="166" t="s">
        <v>1143</v>
      </c>
    </row>
    <row r="515" ht="21.75" customHeight="1">
      <c r="A515" s="167"/>
      <c r="B515" s="226" t="s">
        <v>556</v>
      </c>
      <c r="C515" s="227">
        <v>0.12</v>
      </c>
      <c r="D515" s="237" t="s">
        <v>14</v>
      </c>
      <c r="E515" s="229" t="s">
        <v>1144</v>
      </c>
    </row>
    <row r="516" ht="21.75" customHeight="1">
      <c r="A516" s="167"/>
      <c r="B516" s="163" t="s">
        <v>557</v>
      </c>
      <c r="C516" s="164">
        <v>0.04</v>
      </c>
      <c r="D516" s="165" t="s">
        <v>14</v>
      </c>
      <c r="E516" s="166" t="s">
        <v>933</v>
      </c>
    </row>
    <row r="517" ht="21.75" customHeight="1">
      <c r="A517" s="231"/>
      <c r="B517" s="232" t="s">
        <v>581</v>
      </c>
      <c r="C517" s="233">
        <v>0.12</v>
      </c>
      <c r="D517" s="234" t="s">
        <v>1145</v>
      </c>
      <c r="E517" s="235" t="s">
        <v>1146</v>
      </c>
    </row>
    <row r="518" ht="21.75" customHeight="1">
      <c r="A518" s="236"/>
      <c r="B518" s="163" t="s">
        <v>553</v>
      </c>
      <c r="C518" s="164" t="s">
        <v>14</v>
      </c>
      <c r="D518" s="165" t="s">
        <v>14</v>
      </c>
      <c r="E518" s="166" t="s">
        <v>1147</v>
      </c>
    </row>
    <row r="519" ht="21.75" customHeight="1">
      <c r="A519" s="225" t="s">
        <v>1148</v>
      </c>
      <c r="B519" s="226" t="s">
        <v>1149</v>
      </c>
      <c r="C519" s="227">
        <v>0.04</v>
      </c>
      <c r="D519" s="237" t="s">
        <v>1150</v>
      </c>
      <c r="E519" s="229" t="s">
        <v>1151</v>
      </c>
    </row>
    <row r="520" ht="21.75" customHeight="1">
      <c r="A520" s="230"/>
      <c r="B520" s="163" t="s">
        <v>555</v>
      </c>
      <c r="C520" s="164">
        <v>0.09</v>
      </c>
      <c r="D520" s="165" t="s">
        <v>14</v>
      </c>
      <c r="E520" s="166" t="s">
        <v>1152</v>
      </c>
    </row>
    <row r="521" ht="21.75" customHeight="1">
      <c r="A521" s="167"/>
      <c r="B521" s="226" t="s">
        <v>556</v>
      </c>
      <c r="C521" s="227">
        <v>0.025</v>
      </c>
      <c r="D521" s="237" t="s">
        <v>14</v>
      </c>
      <c r="E521" s="229" t="s">
        <v>1153</v>
      </c>
    </row>
    <row r="522" ht="21.75" customHeight="1">
      <c r="A522" s="167"/>
      <c r="B522" s="163" t="s">
        <v>557</v>
      </c>
      <c r="C522" s="164">
        <v>0.03</v>
      </c>
      <c r="D522" s="165" t="s">
        <v>14</v>
      </c>
      <c r="E522" s="166" t="s">
        <v>933</v>
      </c>
    </row>
    <row r="523" ht="21.75" customHeight="1">
      <c r="A523" s="231"/>
      <c r="B523" s="232" t="s">
        <v>753</v>
      </c>
      <c r="C523" s="233">
        <v>0.13</v>
      </c>
      <c r="D523" s="234" t="s">
        <v>14</v>
      </c>
      <c r="E523" s="235" t="s">
        <v>1154</v>
      </c>
    </row>
    <row r="524" ht="21.75" customHeight="1">
      <c r="A524" s="236"/>
      <c r="B524" s="163" t="s">
        <v>553</v>
      </c>
      <c r="C524" s="164">
        <v>0.32</v>
      </c>
      <c r="D524" s="165" t="s">
        <v>14</v>
      </c>
      <c r="E524" s="166" t="s">
        <v>1155</v>
      </c>
    </row>
    <row r="525" ht="21.75" customHeight="1">
      <c r="A525" s="225" t="s">
        <v>1156</v>
      </c>
      <c r="B525" s="226" t="s">
        <v>554</v>
      </c>
      <c r="C525" s="238" t="s">
        <v>14</v>
      </c>
      <c r="D525" s="239" t="s">
        <v>14</v>
      </c>
      <c r="E525" s="229" t="s">
        <v>1157</v>
      </c>
    </row>
    <row r="526" ht="21.75" customHeight="1">
      <c r="A526" s="230"/>
      <c r="B526" s="163" t="s">
        <v>555</v>
      </c>
      <c r="C526" s="164">
        <v>0.03</v>
      </c>
      <c r="D526" s="189" t="s">
        <v>1158</v>
      </c>
      <c r="E526" s="166" t="s">
        <v>1159</v>
      </c>
    </row>
    <row r="527" ht="21.75" customHeight="1">
      <c r="A527" s="167"/>
      <c r="B527" s="226" t="s">
        <v>556</v>
      </c>
      <c r="C527" s="238" t="s">
        <v>14</v>
      </c>
      <c r="D527" s="237" t="s">
        <v>14</v>
      </c>
      <c r="E527" s="229" t="s">
        <v>1160</v>
      </c>
    </row>
    <row r="528" ht="21.75" customHeight="1">
      <c r="A528" s="167"/>
      <c r="B528" s="163" t="s">
        <v>557</v>
      </c>
      <c r="C528" s="164">
        <v>0.2</v>
      </c>
      <c r="D528" s="165" t="s">
        <v>14</v>
      </c>
      <c r="E528" s="166" t="s">
        <v>933</v>
      </c>
    </row>
    <row r="529" ht="21.75" customHeight="1">
      <c r="A529" s="231"/>
      <c r="B529" s="232" t="s">
        <v>753</v>
      </c>
      <c r="C529" s="233">
        <v>0.26</v>
      </c>
      <c r="D529" s="234" t="s">
        <v>14</v>
      </c>
      <c r="E529" s="235" t="s">
        <v>1161</v>
      </c>
    </row>
    <row r="530" ht="21.75" customHeight="1">
      <c r="A530" s="175" t="s">
        <v>573</v>
      </c>
      <c r="B530" s="163" t="s">
        <v>553</v>
      </c>
      <c r="C530" s="164" t="s">
        <v>14</v>
      </c>
      <c r="D530" s="165" t="s">
        <v>1162</v>
      </c>
      <c r="E530" s="166" t="s">
        <v>1163</v>
      </c>
    </row>
    <row r="531" ht="21.75" customHeight="1">
      <c r="A531" s="240" t="s">
        <v>1164</v>
      </c>
      <c r="B531" s="241" t="s">
        <v>768</v>
      </c>
      <c r="C531" s="242">
        <v>0.22</v>
      </c>
      <c r="D531" s="243" t="s">
        <v>1165</v>
      </c>
      <c r="E531" s="244" t="s">
        <v>1166</v>
      </c>
    </row>
    <row r="532" ht="21.75" customHeight="1">
      <c r="A532" s="245"/>
      <c r="B532" s="163" t="s">
        <v>751</v>
      </c>
      <c r="C532" s="164">
        <v>0.06</v>
      </c>
      <c r="D532" s="165" t="s">
        <v>1167</v>
      </c>
      <c r="E532" s="166" t="s">
        <v>1168</v>
      </c>
    </row>
    <row r="533" ht="21.75" customHeight="1">
      <c r="A533" s="167"/>
      <c r="B533" s="241" t="s">
        <v>771</v>
      </c>
      <c r="C533" s="242">
        <v>0.16</v>
      </c>
      <c r="D533" s="243">
        <v>0.12</v>
      </c>
      <c r="E533" s="244" t="s">
        <v>1169</v>
      </c>
    </row>
    <row r="534" ht="21.75" customHeight="1">
      <c r="A534" s="167"/>
      <c r="B534" s="163" t="s">
        <v>557</v>
      </c>
      <c r="C534" s="164">
        <v>0.1</v>
      </c>
      <c r="D534" s="165" t="s">
        <v>1119</v>
      </c>
      <c r="E534" s="166" t="s">
        <v>933</v>
      </c>
    </row>
    <row r="535" ht="21.75" customHeight="1">
      <c r="A535" s="246"/>
      <c r="B535" s="247" t="s">
        <v>614</v>
      </c>
      <c r="C535" s="248">
        <v>0.65</v>
      </c>
      <c r="D535" s="249" t="s">
        <v>635</v>
      </c>
      <c r="E535" s="250" t="s">
        <v>1170</v>
      </c>
    </row>
    <row r="536" ht="21.75" customHeight="1">
      <c r="A536" s="175" t="s">
        <v>573</v>
      </c>
      <c r="B536" s="163" t="s">
        <v>553</v>
      </c>
      <c r="C536" s="164" t="s">
        <v>14</v>
      </c>
      <c r="D536" s="165" t="s">
        <v>14</v>
      </c>
      <c r="E536" s="166" t="s">
        <v>1171</v>
      </c>
    </row>
    <row r="537" ht="21.75" customHeight="1">
      <c r="A537" s="240" t="s">
        <v>1172</v>
      </c>
      <c r="B537" s="241" t="s">
        <v>554</v>
      </c>
      <c r="C537" s="242">
        <v>0.12</v>
      </c>
      <c r="D537" s="243" t="s">
        <v>14</v>
      </c>
      <c r="E537" s="244" t="s">
        <v>1173</v>
      </c>
    </row>
    <row r="538" ht="21.75" customHeight="1">
      <c r="A538" s="245"/>
      <c r="B538" s="163" t="s">
        <v>555</v>
      </c>
      <c r="C538" s="164">
        <v>0.13</v>
      </c>
      <c r="D538" s="165" t="s">
        <v>14</v>
      </c>
      <c r="E538" s="166" t="s">
        <v>933</v>
      </c>
    </row>
    <row r="539" ht="21.75" customHeight="1">
      <c r="A539" s="167"/>
      <c r="B539" s="241" t="s">
        <v>590</v>
      </c>
      <c r="C539" s="242">
        <v>0.12</v>
      </c>
      <c r="D539" s="243">
        <v>0.12</v>
      </c>
      <c r="E539" s="244" t="s">
        <v>1174</v>
      </c>
    </row>
    <row r="540" ht="21.75" customHeight="1">
      <c r="A540" s="167"/>
      <c r="B540" s="163" t="s">
        <v>557</v>
      </c>
      <c r="C540" s="164">
        <v>0.02</v>
      </c>
      <c r="D540" s="165" t="s">
        <v>14</v>
      </c>
      <c r="E540" s="166" t="s">
        <v>933</v>
      </c>
    </row>
    <row r="541" ht="21.75" customHeight="1">
      <c r="A541" s="246"/>
      <c r="B541" s="247" t="s">
        <v>411</v>
      </c>
      <c r="C541" s="248">
        <v>0.32</v>
      </c>
      <c r="D541" s="249" t="s">
        <v>14</v>
      </c>
      <c r="E541" s="250" t="s">
        <v>1175</v>
      </c>
    </row>
    <row r="542" ht="21.75" customHeight="1">
      <c r="A542" s="175" t="s">
        <v>573</v>
      </c>
      <c r="B542" s="251" t="s">
        <v>595</v>
      </c>
      <c r="C542" s="252" t="s">
        <v>14</v>
      </c>
      <c r="D542" s="253" t="s">
        <v>14</v>
      </c>
      <c r="E542" s="254" t="s">
        <v>1176</v>
      </c>
    </row>
    <row r="543" ht="21.75" customHeight="1">
      <c r="A543" s="255" t="s">
        <v>1177</v>
      </c>
      <c r="B543" s="256" t="s">
        <v>598</v>
      </c>
      <c r="C543" s="257">
        <v>0.28</v>
      </c>
      <c r="D543" s="258" t="s">
        <v>14</v>
      </c>
      <c r="E543" s="259" t="s">
        <v>1178</v>
      </c>
    </row>
    <row r="544" ht="21.75" customHeight="1">
      <c r="A544" s="260"/>
      <c r="B544" s="251" t="s">
        <v>1179</v>
      </c>
      <c r="C544" s="252">
        <v>0.2</v>
      </c>
      <c r="D544" s="253" t="s">
        <v>14</v>
      </c>
      <c r="E544" s="254" t="s">
        <v>1180</v>
      </c>
    </row>
    <row r="545" ht="21.75" customHeight="1">
      <c r="A545" s="167"/>
      <c r="B545" s="256" t="s">
        <v>590</v>
      </c>
      <c r="C545" s="257">
        <v>0.33</v>
      </c>
      <c r="D545" s="258" t="s">
        <v>14</v>
      </c>
      <c r="E545" s="259" t="s">
        <v>1181</v>
      </c>
    </row>
    <row r="546" ht="21.75" customHeight="1">
      <c r="A546" s="167"/>
      <c r="B546" s="261" t="s">
        <v>557</v>
      </c>
      <c r="C546" s="252">
        <v>0.03</v>
      </c>
      <c r="D546" s="253" t="s">
        <v>14</v>
      </c>
      <c r="E546" s="166" t="s">
        <v>933</v>
      </c>
    </row>
    <row r="547" ht="21.75" customHeight="1">
      <c r="A547" s="246"/>
      <c r="B547" s="262" t="s">
        <v>659</v>
      </c>
      <c r="C547" s="263">
        <v>0.84</v>
      </c>
      <c r="D547" s="264" t="s">
        <v>14</v>
      </c>
      <c r="E547" s="265" t="s">
        <v>1182</v>
      </c>
    </row>
    <row r="548" ht="21.75" customHeight="1">
      <c r="A548" s="266"/>
      <c r="B548" s="251" t="s">
        <v>553</v>
      </c>
      <c r="C548" s="252" t="s">
        <v>1183</v>
      </c>
      <c r="D548" s="253" t="s">
        <v>14</v>
      </c>
      <c r="E548" s="254" t="s">
        <v>1184</v>
      </c>
    </row>
    <row r="549" ht="21.75" customHeight="1">
      <c r="A549" s="255" t="s">
        <v>1185</v>
      </c>
      <c r="B549" s="267" t="s">
        <v>554</v>
      </c>
      <c r="C549" s="257">
        <v>0.2</v>
      </c>
      <c r="D549" s="258" t="s">
        <v>14</v>
      </c>
      <c r="E549" s="259" t="s">
        <v>1186</v>
      </c>
    </row>
    <row r="550" ht="21.75" customHeight="1">
      <c r="A550" s="260"/>
      <c r="B550" s="261" t="s">
        <v>555</v>
      </c>
      <c r="C550" s="252">
        <v>0.13</v>
      </c>
      <c r="D550" s="253" t="s">
        <v>14</v>
      </c>
      <c r="E550" s="166" t="s">
        <v>933</v>
      </c>
    </row>
    <row r="551" ht="21.75" customHeight="1">
      <c r="A551" s="167"/>
      <c r="B551" s="267" t="s">
        <v>556</v>
      </c>
      <c r="C551" s="257">
        <v>0.05</v>
      </c>
      <c r="D551" s="258">
        <v>0.03</v>
      </c>
      <c r="E551" s="259" t="s">
        <v>1187</v>
      </c>
    </row>
    <row r="552" ht="21.75" customHeight="1">
      <c r="A552" s="167"/>
      <c r="B552" s="261" t="s">
        <v>557</v>
      </c>
      <c r="C552" s="252">
        <v>0.09</v>
      </c>
      <c r="D552" s="253" t="s">
        <v>14</v>
      </c>
      <c r="E552" s="166" t="s">
        <v>933</v>
      </c>
    </row>
    <row r="553" ht="21.75" customHeight="1">
      <c r="A553" s="246"/>
      <c r="B553" s="262" t="s">
        <v>411</v>
      </c>
      <c r="C553" s="263">
        <v>0.36</v>
      </c>
      <c r="D553" s="264" t="s">
        <v>14</v>
      </c>
      <c r="E553" s="265" t="s">
        <v>1188</v>
      </c>
    </row>
    <row r="554" ht="21.75" customHeight="1">
      <c r="A554" s="266"/>
      <c r="B554" s="251" t="s">
        <v>553</v>
      </c>
      <c r="C554" s="252" t="s">
        <v>14</v>
      </c>
      <c r="D554" s="253" t="s">
        <v>14</v>
      </c>
      <c r="E554" s="254" t="s">
        <v>1189</v>
      </c>
    </row>
    <row r="555" ht="21.75" customHeight="1">
      <c r="A555" s="255" t="s">
        <v>1190</v>
      </c>
      <c r="B555" s="267" t="s">
        <v>554</v>
      </c>
      <c r="C555" s="257" t="s">
        <v>14</v>
      </c>
      <c r="D555" s="258">
        <v>0.05</v>
      </c>
      <c r="E555" s="259" t="s">
        <v>1191</v>
      </c>
    </row>
    <row r="556" ht="21.75" customHeight="1">
      <c r="A556" s="260"/>
      <c r="B556" s="261" t="s">
        <v>555</v>
      </c>
      <c r="C556" s="252">
        <v>0.08</v>
      </c>
      <c r="D556" s="253" t="s">
        <v>14</v>
      </c>
      <c r="E556" s="166" t="s">
        <v>933</v>
      </c>
    </row>
    <row r="557" ht="21.75" customHeight="1">
      <c r="A557" s="167"/>
      <c r="B557" s="267" t="s">
        <v>556</v>
      </c>
      <c r="C557" s="257" t="s">
        <v>14</v>
      </c>
      <c r="D557" s="258">
        <v>0.015</v>
      </c>
      <c r="E557" s="259" t="s">
        <v>1192</v>
      </c>
    </row>
    <row r="558" ht="21.75" customHeight="1">
      <c r="A558" s="167"/>
      <c r="B558" s="261" t="s">
        <v>557</v>
      </c>
      <c r="C558" s="252">
        <v>0.1</v>
      </c>
      <c r="D558" s="253">
        <v>0.03</v>
      </c>
      <c r="E558" s="166" t="s">
        <v>1193</v>
      </c>
    </row>
    <row r="559" ht="21.75" customHeight="1">
      <c r="A559" s="246"/>
      <c r="B559" s="262" t="s">
        <v>411</v>
      </c>
      <c r="C559" s="263" t="s">
        <v>14</v>
      </c>
      <c r="D559" s="264" t="s">
        <v>120</v>
      </c>
      <c r="E559" s="265" t="s">
        <v>1194</v>
      </c>
    </row>
    <row r="560" ht="21.75" customHeight="1">
      <c r="A560" s="266"/>
      <c r="B560" s="251" t="s">
        <v>553</v>
      </c>
      <c r="C560" s="252" t="s">
        <v>14</v>
      </c>
      <c r="D560" s="253" t="s">
        <v>14</v>
      </c>
      <c r="E560" s="254" t="s">
        <v>1195</v>
      </c>
    </row>
    <row r="561" ht="21.75" customHeight="1">
      <c r="A561" s="255" t="s">
        <v>1196</v>
      </c>
      <c r="B561" s="267" t="s">
        <v>554</v>
      </c>
      <c r="C561" s="257">
        <v>0.21</v>
      </c>
      <c r="D561" s="258" t="s">
        <v>14</v>
      </c>
      <c r="E561" s="259" t="s">
        <v>1197</v>
      </c>
    </row>
    <row r="562" ht="21.75" customHeight="1">
      <c r="A562" s="260"/>
      <c r="B562" s="261" t="s">
        <v>555</v>
      </c>
      <c r="C562" s="252">
        <v>0.02</v>
      </c>
      <c r="D562" s="253">
        <v>0.01</v>
      </c>
      <c r="E562" s="254" t="s">
        <v>1198</v>
      </c>
    </row>
    <row r="563" ht="21.75" customHeight="1">
      <c r="A563" s="167"/>
      <c r="B563" s="267" t="s">
        <v>556</v>
      </c>
      <c r="C563" s="257" t="s">
        <v>14</v>
      </c>
      <c r="D563" s="258" t="s">
        <v>1199</v>
      </c>
      <c r="E563" s="259" t="s">
        <v>1200</v>
      </c>
    </row>
    <row r="564" ht="21.75" customHeight="1">
      <c r="A564" s="167"/>
      <c r="B564" s="261" t="s">
        <v>557</v>
      </c>
      <c r="C564" s="252" t="s">
        <v>1201</v>
      </c>
      <c r="D564" s="253" t="s">
        <v>14</v>
      </c>
      <c r="E564" s="166" t="s">
        <v>933</v>
      </c>
    </row>
    <row r="565" ht="21.75" customHeight="1">
      <c r="A565" s="246"/>
      <c r="B565" s="262" t="s">
        <v>623</v>
      </c>
      <c r="C565" s="263">
        <v>0.26</v>
      </c>
      <c r="D565" s="264">
        <v>0.1</v>
      </c>
      <c r="E565" s="265" t="s">
        <v>1202</v>
      </c>
    </row>
    <row r="566" ht="21.75" customHeight="1">
      <c r="A566" s="175" t="s">
        <v>573</v>
      </c>
      <c r="B566" s="251" t="s">
        <v>553</v>
      </c>
      <c r="C566" s="252" t="s">
        <v>120</v>
      </c>
      <c r="D566" s="253" t="s">
        <v>14</v>
      </c>
      <c r="E566" s="254" t="s">
        <v>1203</v>
      </c>
    </row>
    <row r="567" ht="21.75" customHeight="1">
      <c r="A567" s="255" t="s">
        <v>1204</v>
      </c>
      <c r="B567" s="256" t="s">
        <v>726</v>
      </c>
      <c r="C567" s="257" t="s">
        <v>1205</v>
      </c>
      <c r="D567" s="258" t="s">
        <v>14</v>
      </c>
      <c r="E567" s="259" t="s">
        <v>1206</v>
      </c>
    </row>
    <row r="568" ht="21.75" customHeight="1">
      <c r="A568" s="260"/>
      <c r="B568" s="261" t="s">
        <v>555</v>
      </c>
      <c r="C568" s="252">
        <v>0.04</v>
      </c>
      <c r="D568" s="253" t="s">
        <v>14</v>
      </c>
      <c r="E568" s="166" t="s">
        <v>933</v>
      </c>
    </row>
    <row r="569" ht="21.75" customHeight="1">
      <c r="A569" s="167"/>
      <c r="B569" s="256" t="s">
        <v>590</v>
      </c>
      <c r="C569" s="257">
        <v>0.07</v>
      </c>
      <c r="D569" s="258">
        <v>0.07</v>
      </c>
      <c r="E569" s="259" t="s">
        <v>1207</v>
      </c>
    </row>
    <row r="570" ht="21.75" customHeight="1">
      <c r="A570" s="167"/>
      <c r="B570" s="261" t="s">
        <v>557</v>
      </c>
      <c r="C570" s="252">
        <v>0.12</v>
      </c>
      <c r="D570" s="253" t="s">
        <v>14</v>
      </c>
      <c r="E570" s="166" t="s">
        <v>1208</v>
      </c>
    </row>
    <row r="571" ht="21.75" customHeight="1">
      <c r="A571" s="246"/>
      <c r="B571" s="262" t="s">
        <v>1209</v>
      </c>
      <c r="C571" s="263">
        <v>0.51</v>
      </c>
      <c r="D571" s="264" t="s">
        <v>14</v>
      </c>
      <c r="E571" s="265" t="s">
        <v>1210</v>
      </c>
    </row>
    <row r="572" ht="21.75" customHeight="1">
      <c r="A572" s="175" t="s">
        <v>573</v>
      </c>
      <c r="B572" s="251" t="s">
        <v>765</v>
      </c>
      <c r="C572" s="252" t="s">
        <v>663</v>
      </c>
      <c r="D572" s="253" t="s">
        <v>14</v>
      </c>
      <c r="E572" s="254" t="s">
        <v>1211</v>
      </c>
    </row>
    <row r="573" ht="21.75" customHeight="1">
      <c r="A573" s="255" t="s">
        <v>1212</v>
      </c>
      <c r="B573" s="267" t="s">
        <v>554</v>
      </c>
      <c r="C573" s="257">
        <v>0.13</v>
      </c>
      <c r="D573" s="258" t="s">
        <v>14</v>
      </c>
      <c r="E573" s="259" t="s">
        <v>1213</v>
      </c>
    </row>
    <row r="574" ht="21.75" customHeight="1">
      <c r="A574" s="260"/>
      <c r="B574" s="261" t="s">
        <v>555</v>
      </c>
      <c r="C574" s="252">
        <v>0.25</v>
      </c>
      <c r="D574" s="253" t="s">
        <v>14</v>
      </c>
      <c r="E574" s="166" t="s">
        <v>933</v>
      </c>
    </row>
    <row r="575" ht="21.75" customHeight="1">
      <c r="A575" s="167"/>
      <c r="B575" s="267" t="s">
        <v>556</v>
      </c>
      <c r="C575" s="257" t="s">
        <v>14</v>
      </c>
      <c r="D575" s="258">
        <v>0.09</v>
      </c>
      <c r="E575" s="259" t="s">
        <v>1214</v>
      </c>
    </row>
    <row r="576" ht="21.75" customHeight="1">
      <c r="A576" s="167"/>
      <c r="B576" s="261" t="s">
        <v>557</v>
      </c>
      <c r="C576" s="252">
        <v>0.03</v>
      </c>
      <c r="D576" s="253" t="s">
        <v>14</v>
      </c>
      <c r="E576" s="166" t="s">
        <v>933</v>
      </c>
    </row>
    <row r="577" ht="21.75" customHeight="1">
      <c r="A577" s="246"/>
      <c r="B577" s="262" t="s">
        <v>411</v>
      </c>
      <c r="C577" s="263">
        <v>0.03</v>
      </c>
      <c r="D577" s="264">
        <v>0.07</v>
      </c>
      <c r="E577" s="265" t="s">
        <v>1215</v>
      </c>
    </row>
    <row r="578" ht="21.75" customHeight="1">
      <c r="A578" s="175" t="s">
        <v>573</v>
      </c>
      <c r="B578" s="251" t="s">
        <v>742</v>
      </c>
      <c r="C578" s="252">
        <v>0.09</v>
      </c>
      <c r="D578" s="253" t="s">
        <v>14</v>
      </c>
      <c r="E578" s="254" t="s">
        <v>1216</v>
      </c>
    </row>
    <row r="579" ht="21.75" customHeight="1">
      <c r="A579" s="255" t="s">
        <v>1217</v>
      </c>
      <c r="B579" s="267" t="s">
        <v>554</v>
      </c>
      <c r="C579" s="257" t="s">
        <v>14</v>
      </c>
      <c r="D579" s="258" t="s">
        <v>14</v>
      </c>
      <c r="E579" s="259" t="s">
        <v>1218</v>
      </c>
    </row>
    <row r="580" ht="21.75" customHeight="1">
      <c r="A580" s="260"/>
      <c r="B580" s="261" t="s">
        <v>555</v>
      </c>
      <c r="C580" s="252">
        <v>0.055</v>
      </c>
      <c r="D580" s="253" t="s">
        <v>1219</v>
      </c>
      <c r="E580" s="166" t="s">
        <v>933</v>
      </c>
    </row>
    <row r="581" ht="21.75" customHeight="1">
      <c r="A581" s="167"/>
      <c r="B581" s="267" t="s">
        <v>556</v>
      </c>
      <c r="C581" s="257" t="s">
        <v>14</v>
      </c>
      <c r="D581" s="258" t="s">
        <v>14</v>
      </c>
      <c r="E581" s="259" t="s">
        <v>1220</v>
      </c>
    </row>
    <row r="582" ht="21.75" customHeight="1">
      <c r="A582" s="167"/>
      <c r="B582" s="261" t="s">
        <v>557</v>
      </c>
      <c r="C582" s="252">
        <v>0.09</v>
      </c>
      <c r="D582" s="253" t="s">
        <v>14</v>
      </c>
      <c r="E582" s="166" t="s">
        <v>933</v>
      </c>
    </row>
    <row r="583" ht="21.75" customHeight="1">
      <c r="A583" s="246"/>
      <c r="B583" s="262" t="s">
        <v>411</v>
      </c>
      <c r="C583" s="263" t="s">
        <v>14</v>
      </c>
      <c r="D583" s="264" t="s">
        <v>14</v>
      </c>
      <c r="E583" s="265" t="s">
        <v>1221</v>
      </c>
    </row>
    <row r="584" ht="21.75" customHeight="1">
      <c r="A584" s="266"/>
      <c r="B584" s="251" t="s">
        <v>553</v>
      </c>
      <c r="C584" s="252" t="s">
        <v>14</v>
      </c>
      <c r="D584" s="253" t="s">
        <v>14</v>
      </c>
      <c r="E584" s="254" t="s">
        <v>1222</v>
      </c>
    </row>
    <row r="585" ht="21.75" customHeight="1">
      <c r="A585" s="255" t="s">
        <v>1223</v>
      </c>
      <c r="B585" s="256" t="s">
        <v>611</v>
      </c>
      <c r="C585" s="257">
        <v>0.15</v>
      </c>
      <c r="D585" s="258" t="s">
        <v>14</v>
      </c>
      <c r="E585" s="259" t="s">
        <v>1224</v>
      </c>
    </row>
    <row r="586" ht="21.75" customHeight="1">
      <c r="A586" s="260"/>
      <c r="B586" s="261" t="s">
        <v>555</v>
      </c>
      <c r="C586" s="252">
        <v>0.11</v>
      </c>
      <c r="D586" s="253" t="s">
        <v>14</v>
      </c>
      <c r="E586" s="166" t="s">
        <v>933</v>
      </c>
    </row>
    <row r="587" ht="21.75" customHeight="1">
      <c r="A587" s="167"/>
      <c r="B587" s="267" t="s">
        <v>556</v>
      </c>
      <c r="C587" s="257" t="s">
        <v>14</v>
      </c>
      <c r="D587" s="258" t="s">
        <v>14</v>
      </c>
      <c r="E587" s="259" t="s">
        <v>1225</v>
      </c>
    </row>
    <row r="588" ht="21.75" customHeight="1">
      <c r="A588" s="167"/>
      <c r="B588" s="261" t="s">
        <v>557</v>
      </c>
      <c r="C588" s="252">
        <v>0.06</v>
      </c>
      <c r="D588" s="253" t="s">
        <v>14</v>
      </c>
      <c r="E588" s="166" t="s">
        <v>933</v>
      </c>
    </row>
    <row r="589" ht="21.75" customHeight="1">
      <c r="A589" s="246"/>
      <c r="B589" s="262" t="s">
        <v>411</v>
      </c>
      <c r="C589" s="263">
        <v>0.16</v>
      </c>
      <c r="D589" s="264" t="s">
        <v>14</v>
      </c>
      <c r="E589" s="265" t="s">
        <v>1226</v>
      </c>
    </row>
    <row r="590" ht="21.75" customHeight="1">
      <c r="A590" s="266"/>
      <c r="B590" s="251" t="s">
        <v>553</v>
      </c>
      <c r="C590" s="252" t="s">
        <v>14</v>
      </c>
      <c r="D590" s="253" t="s">
        <v>14</v>
      </c>
      <c r="E590" s="254" t="s">
        <v>1227</v>
      </c>
    </row>
    <row r="591" ht="21.75" customHeight="1">
      <c r="A591" s="255" t="s">
        <v>1228</v>
      </c>
      <c r="B591" s="267" t="s">
        <v>554</v>
      </c>
      <c r="C591" s="257" t="s">
        <v>14</v>
      </c>
      <c r="D591" s="258" t="s">
        <v>14</v>
      </c>
      <c r="E591" s="259" t="s">
        <v>1229</v>
      </c>
    </row>
    <row r="592" ht="21.75" customHeight="1">
      <c r="A592" s="260"/>
      <c r="B592" s="261" t="s">
        <v>555</v>
      </c>
      <c r="C592" s="252">
        <v>0.01</v>
      </c>
      <c r="D592" s="253" t="s">
        <v>671</v>
      </c>
      <c r="E592" s="254" t="s">
        <v>1230</v>
      </c>
    </row>
    <row r="593" ht="21.75" customHeight="1">
      <c r="A593" s="167"/>
      <c r="B593" s="267" t="s">
        <v>556</v>
      </c>
      <c r="C593" s="257">
        <v>0.13</v>
      </c>
      <c r="D593" s="258" t="s">
        <v>14</v>
      </c>
      <c r="E593" s="259" t="s">
        <v>1231</v>
      </c>
    </row>
    <row r="594" ht="21.75" customHeight="1">
      <c r="A594" s="167"/>
      <c r="B594" s="261" t="s">
        <v>557</v>
      </c>
      <c r="C594" s="252">
        <v>0.11</v>
      </c>
      <c r="D594" s="253" t="s">
        <v>14</v>
      </c>
      <c r="E594" s="166" t="s">
        <v>933</v>
      </c>
    </row>
    <row r="595" ht="21.75" customHeight="1">
      <c r="A595" s="246"/>
      <c r="B595" s="262" t="s">
        <v>623</v>
      </c>
      <c r="C595" s="263">
        <v>0.35</v>
      </c>
      <c r="D595" s="264" t="s">
        <v>14</v>
      </c>
      <c r="E595" s="265" t="s">
        <v>1232</v>
      </c>
    </row>
    <row r="596" ht="21.75" customHeight="1">
      <c r="A596" s="266"/>
      <c r="B596" s="251" t="s">
        <v>715</v>
      </c>
      <c r="C596" s="252">
        <v>0.06</v>
      </c>
      <c r="D596" s="253">
        <v>0.08</v>
      </c>
      <c r="E596" s="254" t="s">
        <v>1233</v>
      </c>
    </row>
    <row r="597" ht="21.75" customHeight="1">
      <c r="A597" s="255" t="s">
        <v>1234</v>
      </c>
      <c r="B597" s="267" t="s">
        <v>554</v>
      </c>
      <c r="C597" s="257">
        <v>0.61</v>
      </c>
      <c r="D597" s="258" t="s">
        <v>14</v>
      </c>
      <c r="E597" s="259" t="s">
        <v>1235</v>
      </c>
    </row>
    <row r="598" ht="21.75" customHeight="1">
      <c r="A598" s="260"/>
      <c r="B598" s="261" t="s">
        <v>555</v>
      </c>
      <c r="C598" s="252">
        <v>0.13</v>
      </c>
      <c r="D598" s="253" t="s">
        <v>14</v>
      </c>
      <c r="E598" s="166" t="s">
        <v>933</v>
      </c>
    </row>
    <row r="599" ht="21.75" customHeight="1">
      <c r="A599" s="167"/>
      <c r="B599" s="267" t="s">
        <v>556</v>
      </c>
      <c r="C599" s="257" t="s">
        <v>652</v>
      </c>
      <c r="D599" s="258" t="s">
        <v>14</v>
      </c>
      <c r="E599" s="259" t="s">
        <v>1236</v>
      </c>
    </row>
    <row r="600" ht="21.75" customHeight="1">
      <c r="A600" s="167"/>
      <c r="B600" s="261" t="s">
        <v>557</v>
      </c>
      <c r="C600" s="252">
        <v>0.17</v>
      </c>
      <c r="D600" s="253" t="s">
        <v>14</v>
      </c>
      <c r="E600" s="166" t="s">
        <v>933</v>
      </c>
    </row>
    <row r="601" ht="21.75" customHeight="1">
      <c r="A601" s="246"/>
      <c r="B601" s="262" t="s">
        <v>411</v>
      </c>
      <c r="C601" s="263" t="s">
        <v>14</v>
      </c>
      <c r="D601" s="264" t="s">
        <v>14</v>
      </c>
      <c r="E601" s="265" t="s">
        <v>1237</v>
      </c>
    </row>
    <row r="602" ht="21.75" customHeight="1">
      <c r="A602" s="175" t="s">
        <v>573</v>
      </c>
      <c r="B602" s="163" t="s">
        <v>765</v>
      </c>
      <c r="C602" s="164">
        <v>0.2</v>
      </c>
      <c r="D602" s="165" t="s">
        <v>14</v>
      </c>
      <c r="E602" s="166" t="s">
        <v>1238</v>
      </c>
    </row>
    <row r="603" ht="21.75" customHeight="1">
      <c r="A603" s="268" t="s">
        <v>1239</v>
      </c>
      <c r="B603" s="269" t="s">
        <v>598</v>
      </c>
      <c r="C603" s="270">
        <v>0.41</v>
      </c>
      <c r="D603" s="271">
        <v>0.22</v>
      </c>
      <c r="E603" s="272" t="s">
        <v>1240</v>
      </c>
    </row>
    <row r="604" ht="21.75" customHeight="1">
      <c r="A604" s="273"/>
      <c r="B604" s="163" t="s">
        <v>555</v>
      </c>
      <c r="C604" s="164">
        <v>0.22</v>
      </c>
      <c r="D604" s="165" t="s">
        <v>14</v>
      </c>
      <c r="E604" s="166" t="s">
        <v>933</v>
      </c>
    </row>
    <row r="605" ht="21.75" customHeight="1">
      <c r="A605" s="167"/>
      <c r="B605" s="269" t="s">
        <v>590</v>
      </c>
      <c r="C605" s="270">
        <v>0.07</v>
      </c>
      <c r="D605" s="271" t="s">
        <v>14</v>
      </c>
      <c r="E605" s="272" t="s">
        <v>1241</v>
      </c>
    </row>
    <row r="606" ht="21.75" customHeight="1">
      <c r="A606" s="167"/>
      <c r="B606" s="163" t="s">
        <v>557</v>
      </c>
      <c r="C606" s="164">
        <v>0.05</v>
      </c>
      <c r="D606" s="165" t="s">
        <v>14</v>
      </c>
      <c r="E606" s="166" t="s">
        <v>933</v>
      </c>
    </row>
    <row r="607" ht="21.75" customHeight="1">
      <c r="A607" s="274"/>
      <c r="B607" s="275" t="s">
        <v>1209</v>
      </c>
      <c r="C607" s="276">
        <v>0.72</v>
      </c>
      <c r="D607" s="277" t="s">
        <v>14</v>
      </c>
      <c r="E607" s="278" t="s">
        <v>1242</v>
      </c>
    </row>
    <row r="608" ht="21.75" customHeight="1">
      <c r="A608" s="175" t="s">
        <v>573</v>
      </c>
      <c r="B608" s="163" t="s">
        <v>595</v>
      </c>
      <c r="C608" s="164">
        <v>0.385</v>
      </c>
      <c r="D608" s="165" t="s">
        <v>14</v>
      </c>
      <c r="E608" s="166" t="s">
        <v>1243</v>
      </c>
    </row>
    <row r="609" ht="21.75" customHeight="1">
      <c r="A609" s="268" t="s">
        <v>1244</v>
      </c>
      <c r="B609" s="269" t="s">
        <v>598</v>
      </c>
      <c r="C609" s="270">
        <v>0.3</v>
      </c>
      <c r="D609" s="271">
        <v>0.22</v>
      </c>
      <c r="E609" s="272" t="s">
        <v>1245</v>
      </c>
    </row>
    <row r="610" ht="21.75" customHeight="1">
      <c r="A610" s="273"/>
      <c r="B610" s="163" t="s">
        <v>555</v>
      </c>
      <c r="C610" s="164">
        <v>0.1</v>
      </c>
      <c r="D610" s="165" t="s">
        <v>14</v>
      </c>
      <c r="E610" s="166" t="s">
        <v>1246</v>
      </c>
    </row>
    <row r="611" ht="21.75" customHeight="1">
      <c r="A611" s="167"/>
      <c r="B611" s="269" t="s">
        <v>590</v>
      </c>
      <c r="C611" s="270">
        <v>0.31</v>
      </c>
      <c r="D611" s="271" t="s">
        <v>14</v>
      </c>
      <c r="E611" s="272" t="s">
        <v>1247</v>
      </c>
    </row>
    <row r="612" ht="21.75" customHeight="1">
      <c r="A612" s="167"/>
      <c r="B612" s="163" t="s">
        <v>557</v>
      </c>
      <c r="C612" s="164">
        <v>0.04</v>
      </c>
      <c r="D612" s="165" t="s">
        <v>14</v>
      </c>
      <c r="E612" s="166" t="s">
        <v>933</v>
      </c>
    </row>
    <row r="613" ht="21.75" customHeight="1">
      <c r="A613" s="274"/>
      <c r="B613" s="275" t="s">
        <v>614</v>
      </c>
      <c r="C613" s="276">
        <v>0.61</v>
      </c>
      <c r="D613" s="277" t="s">
        <v>14</v>
      </c>
      <c r="E613" s="278" t="s">
        <v>1248</v>
      </c>
    </row>
    <row r="614" ht="21.75" customHeight="1">
      <c r="A614" s="279"/>
      <c r="B614" s="163" t="s">
        <v>765</v>
      </c>
      <c r="C614" s="164">
        <v>0.015</v>
      </c>
      <c r="D614" s="165">
        <v>0.065</v>
      </c>
      <c r="E614" s="166" t="s">
        <v>1249</v>
      </c>
    </row>
    <row r="615" ht="21.75" customHeight="1">
      <c r="A615" s="268" t="s">
        <v>1250</v>
      </c>
      <c r="B615" s="269" t="s">
        <v>554</v>
      </c>
      <c r="C615" s="270" t="s">
        <v>616</v>
      </c>
      <c r="D615" s="271" t="s">
        <v>14</v>
      </c>
      <c r="E615" s="272" t="s">
        <v>1251</v>
      </c>
    </row>
    <row r="616" ht="21.75" customHeight="1">
      <c r="A616" s="273"/>
      <c r="B616" s="163" t="s">
        <v>555</v>
      </c>
      <c r="C616" s="164">
        <v>0.01</v>
      </c>
      <c r="D616" s="165" t="s">
        <v>14</v>
      </c>
      <c r="E616" s="166" t="s">
        <v>933</v>
      </c>
    </row>
    <row r="617" ht="21.75" customHeight="1">
      <c r="A617" s="167"/>
      <c r="B617" s="269" t="s">
        <v>556</v>
      </c>
      <c r="C617" s="270">
        <v>0.045</v>
      </c>
      <c r="D617" s="271" t="s">
        <v>14</v>
      </c>
      <c r="E617" s="272" t="s">
        <v>1252</v>
      </c>
    </row>
    <row r="618" ht="21.75" customHeight="1">
      <c r="A618" s="167"/>
      <c r="B618" s="163" t="s">
        <v>557</v>
      </c>
      <c r="C618" s="164">
        <v>0.02</v>
      </c>
      <c r="D618" s="165" t="s">
        <v>14</v>
      </c>
      <c r="E618" s="166" t="s">
        <v>933</v>
      </c>
    </row>
    <row r="619" ht="21.75" customHeight="1">
      <c r="A619" s="274"/>
      <c r="B619" s="275" t="s">
        <v>592</v>
      </c>
      <c r="C619" s="276">
        <v>0.015</v>
      </c>
      <c r="D619" s="277" t="s">
        <v>14</v>
      </c>
      <c r="E619" s="278" t="s">
        <v>1253</v>
      </c>
    </row>
    <row r="620" ht="21.75" customHeight="1">
      <c r="A620" s="279"/>
      <c r="B620" s="163" t="s">
        <v>553</v>
      </c>
      <c r="C620" s="164">
        <v>0.21</v>
      </c>
      <c r="D620" s="165" t="s">
        <v>14</v>
      </c>
      <c r="E620" s="166" t="s">
        <v>1254</v>
      </c>
    </row>
    <row r="621" ht="21.75" customHeight="1">
      <c r="A621" s="268" t="s">
        <v>1255</v>
      </c>
      <c r="B621" s="269" t="s">
        <v>554</v>
      </c>
      <c r="C621" s="270" t="s">
        <v>14</v>
      </c>
      <c r="D621" s="271" t="s">
        <v>14</v>
      </c>
      <c r="E621" s="272" t="s">
        <v>1256</v>
      </c>
    </row>
    <row r="622" ht="21.75" customHeight="1">
      <c r="A622" s="273"/>
      <c r="B622" s="163" t="s">
        <v>555</v>
      </c>
      <c r="C622" s="164">
        <v>0.02</v>
      </c>
      <c r="D622" s="165" t="s">
        <v>593</v>
      </c>
      <c r="E622" s="166" t="s">
        <v>933</v>
      </c>
    </row>
    <row r="623" ht="21.75" customHeight="1">
      <c r="A623" s="167"/>
      <c r="B623" s="269" t="s">
        <v>1257</v>
      </c>
      <c r="C623" s="270">
        <v>0.42</v>
      </c>
      <c r="D623" s="271" t="s">
        <v>14</v>
      </c>
      <c r="E623" s="272" t="s">
        <v>1258</v>
      </c>
    </row>
    <row r="624" ht="21.75" customHeight="1">
      <c r="A624" s="167"/>
      <c r="B624" s="163" t="s">
        <v>557</v>
      </c>
      <c r="C624" s="164">
        <v>0.11</v>
      </c>
      <c r="D624" s="165" t="s">
        <v>14</v>
      </c>
      <c r="E624" s="166" t="s">
        <v>933</v>
      </c>
    </row>
    <row r="625" ht="21.75" customHeight="1">
      <c r="A625" s="274"/>
      <c r="B625" s="275" t="s">
        <v>581</v>
      </c>
      <c r="C625" s="276">
        <v>0.16</v>
      </c>
      <c r="D625" s="277">
        <v>0.05</v>
      </c>
      <c r="E625" s="278" t="s">
        <v>1259</v>
      </c>
    </row>
    <row r="626" ht="21.75" customHeight="1">
      <c r="A626" s="175" t="s">
        <v>573</v>
      </c>
      <c r="B626" s="163" t="s">
        <v>1087</v>
      </c>
      <c r="C626" s="164">
        <v>0.28</v>
      </c>
      <c r="D626" s="165" t="s">
        <v>1260</v>
      </c>
      <c r="E626" s="166" t="s">
        <v>1261</v>
      </c>
    </row>
    <row r="627" ht="21.75" customHeight="1">
      <c r="A627" s="268" t="s">
        <v>1262</v>
      </c>
      <c r="B627" s="269" t="s">
        <v>611</v>
      </c>
      <c r="C627" s="270">
        <v>0.485</v>
      </c>
      <c r="D627" s="271" t="s">
        <v>1263</v>
      </c>
      <c r="E627" s="272" t="s">
        <v>1264</v>
      </c>
    </row>
    <row r="628" ht="21.75" customHeight="1">
      <c r="A628" s="273"/>
      <c r="B628" s="163" t="s">
        <v>555</v>
      </c>
      <c r="C628" s="164">
        <v>0.13</v>
      </c>
      <c r="D628" s="165" t="s">
        <v>1265</v>
      </c>
      <c r="E628" s="166" t="s">
        <v>933</v>
      </c>
    </row>
    <row r="629" ht="21.75" customHeight="1">
      <c r="A629" s="167"/>
      <c r="B629" s="269" t="s">
        <v>556</v>
      </c>
      <c r="C629" s="270">
        <v>0.01</v>
      </c>
      <c r="D629" s="271">
        <v>0.08</v>
      </c>
      <c r="E629" s="272" t="s">
        <v>1266</v>
      </c>
    </row>
    <row r="630" ht="21.75" customHeight="1">
      <c r="A630" s="167"/>
      <c r="B630" s="163" t="s">
        <v>557</v>
      </c>
      <c r="C630" s="164">
        <v>0.1</v>
      </c>
      <c r="D630" s="165" t="s">
        <v>1267</v>
      </c>
      <c r="E630" s="166" t="s">
        <v>933</v>
      </c>
    </row>
    <row r="631" ht="21.75" customHeight="1">
      <c r="A631" s="274"/>
      <c r="B631" s="275" t="s">
        <v>614</v>
      </c>
      <c r="C631" s="276">
        <v>0.89</v>
      </c>
      <c r="D631" s="277" t="s">
        <v>14</v>
      </c>
      <c r="E631" s="278" t="s">
        <v>1268</v>
      </c>
    </row>
    <row r="632" ht="21.75" customHeight="1">
      <c r="A632" s="279"/>
      <c r="B632" s="163" t="s">
        <v>553</v>
      </c>
      <c r="C632" s="164" t="s">
        <v>14</v>
      </c>
      <c r="D632" s="165" t="s">
        <v>14</v>
      </c>
      <c r="E632" s="166" t="s">
        <v>1269</v>
      </c>
    </row>
    <row r="633" ht="21.75" customHeight="1">
      <c r="A633" s="268" t="s">
        <v>1270</v>
      </c>
      <c r="B633" s="269" t="s">
        <v>554</v>
      </c>
      <c r="C633" s="270">
        <v>0.18</v>
      </c>
      <c r="D633" s="271" t="s">
        <v>14</v>
      </c>
      <c r="E633" s="272" t="s">
        <v>1271</v>
      </c>
    </row>
    <row r="634" ht="21.75" customHeight="1">
      <c r="A634" s="273"/>
      <c r="B634" s="163" t="s">
        <v>555</v>
      </c>
      <c r="C634" s="164">
        <v>0.01</v>
      </c>
      <c r="D634" s="165">
        <v>0.01</v>
      </c>
      <c r="E634" s="166" t="s">
        <v>1272</v>
      </c>
    </row>
    <row r="635" ht="21.75" customHeight="1">
      <c r="A635" s="167"/>
      <c r="B635" s="269" t="s">
        <v>556</v>
      </c>
      <c r="C635" s="270">
        <v>0.03</v>
      </c>
      <c r="D635" s="271" t="s">
        <v>14</v>
      </c>
      <c r="E635" s="272" t="s">
        <v>1273</v>
      </c>
    </row>
    <row r="636" ht="21.75" customHeight="1">
      <c r="A636" s="167"/>
      <c r="B636" s="163" t="s">
        <v>557</v>
      </c>
      <c r="C636" s="164">
        <v>0.03</v>
      </c>
      <c r="D636" s="165" t="s">
        <v>14</v>
      </c>
      <c r="E636" s="166" t="s">
        <v>933</v>
      </c>
    </row>
    <row r="637" ht="21.75" customHeight="1">
      <c r="A637" s="274"/>
      <c r="B637" s="275" t="s">
        <v>592</v>
      </c>
      <c r="C637" s="276">
        <v>0.055</v>
      </c>
      <c r="D637" s="277" t="s">
        <v>14</v>
      </c>
      <c r="E637" s="278" t="s">
        <v>1274</v>
      </c>
    </row>
    <row r="638" ht="21.75" customHeight="1">
      <c r="A638" s="175" t="s">
        <v>573</v>
      </c>
      <c r="B638" s="163" t="s">
        <v>553</v>
      </c>
      <c r="C638" s="164" t="s">
        <v>14</v>
      </c>
      <c r="D638" s="165" t="s">
        <v>14</v>
      </c>
      <c r="E638" s="166" t="s">
        <v>1275</v>
      </c>
    </row>
    <row r="639" ht="21.75" customHeight="1">
      <c r="A639" s="268" t="s">
        <v>1276</v>
      </c>
      <c r="B639" s="269" t="s">
        <v>554</v>
      </c>
      <c r="C639" s="270">
        <v>0.15</v>
      </c>
      <c r="D639" s="271" t="s">
        <v>14</v>
      </c>
      <c r="E639" s="272" t="s">
        <v>1277</v>
      </c>
    </row>
    <row r="640" ht="21.75" customHeight="1">
      <c r="A640" s="273"/>
      <c r="B640" s="163" t="s">
        <v>555</v>
      </c>
      <c r="C640" s="164">
        <v>0.05</v>
      </c>
      <c r="D640" s="165" t="s">
        <v>14</v>
      </c>
      <c r="E640" s="166" t="s">
        <v>933</v>
      </c>
    </row>
    <row r="641" ht="21.75" customHeight="1">
      <c r="A641" s="167"/>
      <c r="B641" s="269" t="s">
        <v>590</v>
      </c>
      <c r="C641" s="270">
        <v>0.16</v>
      </c>
      <c r="D641" s="271">
        <v>0.09</v>
      </c>
      <c r="E641" s="272" t="s">
        <v>1278</v>
      </c>
    </row>
    <row r="642" ht="21.75" customHeight="1">
      <c r="A642" s="167"/>
      <c r="B642" s="163" t="s">
        <v>557</v>
      </c>
      <c r="C642" s="164">
        <v>0.045</v>
      </c>
      <c r="D642" s="165" t="s">
        <v>14</v>
      </c>
      <c r="E642" s="166" t="s">
        <v>933</v>
      </c>
    </row>
    <row r="643" ht="21.75" customHeight="1">
      <c r="A643" s="274"/>
      <c r="B643" s="275" t="s">
        <v>1209</v>
      </c>
      <c r="C643" s="276">
        <v>0.9</v>
      </c>
      <c r="D643" s="277" t="s">
        <v>14</v>
      </c>
      <c r="E643" s="278" t="s">
        <v>1279</v>
      </c>
    </row>
    <row r="644" ht="21.75" customHeight="1">
      <c r="A644" s="175" t="s">
        <v>573</v>
      </c>
      <c r="B644" s="163" t="s">
        <v>553</v>
      </c>
      <c r="C644" s="164">
        <v>0.1</v>
      </c>
      <c r="D644" s="165" t="s">
        <v>14</v>
      </c>
      <c r="E644" s="166" t="s">
        <v>1280</v>
      </c>
    </row>
    <row r="645" ht="21.75" customHeight="1">
      <c r="A645" s="268" t="s">
        <v>1281</v>
      </c>
      <c r="B645" s="269" t="s">
        <v>789</v>
      </c>
      <c r="C645" s="270">
        <v>0.195</v>
      </c>
      <c r="D645" s="271">
        <v>0.18</v>
      </c>
      <c r="E645" s="272" t="s">
        <v>1282</v>
      </c>
    </row>
    <row r="646" ht="21.75" customHeight="1">
      <c r="A646" s="273"/>
      <c r="B646" s="163" t="s">
        <v>555</v>
      </c>
      <c r="C646" s="164">
        <v>0.1</v>
      </c>
      <c r="D646" s="165" t="s">
        <v>14</v>
      </c>
      <c r="E646" s="166" t="s">
        <v>933</v>
      </c>
    </row>
    <row r="647" ht="21.75" customHeight="1">
      <c r="A647" s="167"/>
      <c r="B647" s="269" t="s">
        <v>556</v>
      </c>
      <c r="C647" s="270">
        <v>0.12</v>
      </c>
      <c r="D647" s="271" t="s">
        <v>14</v>
      </c>
      <c r="E647" s="272" t="s">
        <v>1283</v>
      </c>
    </row>
    <row r="648" ht="21.75" customHeight="1">
      <c r="A648" s="167"/>
      <c r="B648" s="163" t="s">
        <v>557</v>
      </c>
      <c r="C648" s="164">
        <v>0.025</v>
      </c>
      <c r="D648" s="165" t="s">
        <v>14</v>
      </c>
      <c r="E648" s="166" t="s">
        <v>1284</v>
      </c>
    </row>
    <row r="649" ht="21.75" customHeight="1">
      <c r="A649" s="274"/>
      <c r="B649" s="275" t="s">
        <v>623</v>
      </c>
      <c r="C649" s="276">
        <v>0.72</v>
      </c>
      <c r="D649" s="277" t="s">
        <v>14</v>
      </c>
      <c r="E649" s="278" t="s">
        <v>1285</v>
      </c>
    </row>
    <row r="650" ht="21.75" customHeight="1">
      <c r="A650" s="279"/>
      <c r="B650" s="163" t="s">
        <v>553</v>
      </c>
      <c r="C650" s="164" t="s">
        <v>14</v>
      </c>
      <c r="D650" s="165" t="s">
        <v>14</v>
      </c>
      <c r="E650" s="166" t="s">
        <v>1286</v>
      </c>
    </row>
    <row r="651" ht="21.75" customHeight="1">
      <c r="A651" s="268" t="s">
        <v>1287</v>
      </c>
      <c r="B651" s="269" t="s">
        <v>554</v>
      </c>
      <c r="C651" s="270">
        <v>0.12</v>
      </c>
      <c r="D651" s="271" t="s">
        <v>14</v>
      </c>
      <c r="E651" s="272" t="s">
        <v>1288</v>
      </c>
    </row>
    <row r="652" ht="21.75" customHeight="1">
      <c r="A652" s="273"/>
      <c r="B652" s="163" t="s">
        <v>555</v>
      </c>
      <c r="C652" s="164">
        <v>0.03</v>
      </c>
      <c r="D652" s="165" t="s">
        <v>14</v>
      </c>
      <c r="E652" s="166" t="s">
        <v>770</v>
      </c>
    </row>
    <row r="653" ht="21.75" customHeight="1">
      <c r="A653" s="167"/>
      <c r="B653" s="269" t="s">
        <v>556</v>
      </c>
      <c r="C653" s="270" t="s">
        <v>14</v>
      </c>
      <c r="D653" s="271">
        <v>0.06</v>
      </c>
      <c r="E653" s="272" t="s">
        <v>1289</v>
      </c>
    </row>
    <row r="654" ht="21.75" customHeight="1">
      <c r="A654" s="167"/>
      <c r="B654" s="163" t="s">
        <v>557</v>
      </c>
      <c r="C654" s="164">
        <v>0.1</v>
      </c>
      <c r="D654" s="165" t="s">
        <v>14</v>
      </c>
      <c r="E654" s="166" t="s">
        <v>770</v>
      </c>
    </row>
    <row r="655" ht="21.75" customHeight="1">
      <c r="A655" s="274"/>
      <c r="B655" s="275" t="s">
        <v>411</v>
      </c>
      <c r="C655" s="276">
        <v>0.09</v>
      </c>
      <c r="D655" s="277" t="s">
        <v>14</v>
      </c>
      <c r="E655" s="278" t="s">
        <v>1290</v>
      </c>
    </row>
    <row r="656" ht="21.75" customHeight="1">
      <c r="A656" s="175" t="s">
        <v>573</v>
      </c>
      <c r="B656" s="163" t="s">
        <v>553</v>
      </c>
      <c r="C656" s="164">
        <v>0.07</v>
      </c>
      <c r="D656" s="165" t="s">
        <v>14</v>
      </c>
      <c r="E656" s="166" t="s">
        <v>1291</v>
      </c>
    </row>
    <row r="657" ht="21.75" customHeight="1">
      <c r="A657" s="268" t="s">
        <v>1292</v>
      </c>
      <c r="B657" s="269" t="s">
        <v>554</v>
      </c>
      <c r="C657" s="270">
        <v>0.09</v>
      </c>
      <c r="D657" s="271" t="s">
        <v>14</v>
      </c>
      <c r="E657" s="272" t="s">
        <v>1293</v>
      </c>
    </row>
    <row r="658" ht="21.75" customHeight="1">
      <c r="A658" s="273"/>
      <c r="B658" s="163" t="s">
        <v>555</v>
      </c>
      <c r="C658" s="164">
        <v>0.04</v>
      </c>
      <c r="D658" s="165" t="s">
        <v>14</v>
      </c>
      <c r="E658" s="166" t="s">
        <v>770</v>
      </c>
    </row>
    <row r="659" ht="21.75" customHeight="1">
      <c r="A659" s="167"/>
      <c r="B659" s="269" t="s">
        <v>590</v>
      </c>
      <c r="C659" s="270">
        <v>0.15</v>
      </c>
      <c r="D659" s="271">
        <v>0.12</v>
      </c>
      <c r="E659" s="272" t="s">
        <v>1294</v>
      </c>
    </row>
    <row r="660" ht="21.75" customHeight="1">
      <c r="A660" s="167"/>
      <c r="B660" s="163" t="s">
        <v>557</v>
      </c>
      <c r="C660" s="164">
        <v>0.005</v>
      </c>
      <c r="D660" s="165" t="s">
        <v>14</v>
      </c>
      <c r="E660" s="166" t="s">
        <v>770</v>
      </c>
    </row>
    <row r="661" ht="21.75" customHeight="1">
      <c r="A661" s="274"/>
      <c r="B661" s="275" t="s">
        <v>659</v>
      </c>
      <c r="C661" s="276">
        <v>0.32</v>
      </c>
      <c r="D661" s="277" t="s">
        <v>14</v>
      </c>
      <c r="E661" s="278" t="s">
        <v>1295</v>
      </c>
    </row>
    <row r="662" ht="21.75" customHeight="1">
      <c r="A662" s="279"/>
      <c r="B662" s="163" t="s">
        <v>553</v>
      </c>
      <c r="C662" s="164" t="s">
        <v>1296</v>
      </c>
      <c r="D662" s="165" t="s">
        <v>14</v>
      </c>
      <c r="E662" s="166" t="s">
        <v>1297</v>
      </c>
    </row>
    <row r="663" ht="21.75" customHeight="1">
      <c r="A663" s="268" t="s">
        <v>1298</v>
      </c>
      <c r="B663" s="269" t="s">
        <v>726</v>
      </c>
      <c r="C663" s="270">
        <v>0.14</v>
      </c>
      <c r="D663" s="271" t="s">
        <v>14</v>
      </c>
      <c r="E663" s="272" t="s">
        <v>1299</v>
      </c>
    </row>
    <row r="664" ht="21.75" customHeight="1">
      <c r="A664" s="273"/>
      <c r="B664" s="163" t="s">
        <v>555</v>
      </c>
      <c r="C664" s="164">
        <v>0.03</v>
      </c>
      <c r="D664" s="165" t="s">
        <v>14</v>
      </c>
      <c r="E664" s="166" t="s">
        <v>770</v>
      </c>
    </row>
    <row r="665" ht="21.75" customHeight="1">
      <c r="A665" s="167"/>
      <c r="B665" s="269" t="s">
        <v>556</v>
      </c>
      <c r="C665" s="270" t="s">
        <v>14</v>
      </c>
      <c r="D665" s="271" t="s">
        <v>14</v>
      </c>
      <c r="E665" s="272" t="s">
        <v>1300</v>
      </c>
    </row>
    <row r="666" ht="21.75" customHeight="1">
      <c r="A666" s="167"/>
      <c r="B666" s="163" t="s">
        <v>557</v>
      </c>
      <c r="C666" s="164">
        <v>0.12</v>
      </c>
      <c r="D666" s="165" t="s">
        <v>14</v>
      </c>
      <c r="E666" s="166" t="s">
        <v>770</v>
      </c>
    </row>
    <row r="667" ht="21.75" customHeight="1">
      <c r="A667" s="274"/>
      <c r="B667" s="275" t="s">
        <v>411</v>
      </c>
      <c r="C667" s="276">
        <v>0.08</v>
      </c>
      <c r="D667" s="277">
        <v>0.06</v>
      </c>
      <c r="E667" s="278" t="s">
        <v>1301</v>
      </c>
    </row>
    <row r="668" ht="21.75" customHeight="1">
      <c r="A668" s="175" t="s">
        <v>573</v>
      </c>
      <c r="B668" s="163" t="s">
        <v>858</v>
      </c>
      <c r="C668" s="280" t="s">
        <v>14</v>
      </c>
      <c r="D668" s="189" t="s">
        <v>1302</v>
      </c>
      <c r="E668" s="166" t="s">
        <v>1303</v>
      </c>
    </row>
    <row r="669" ht="21.75" customHeight="1">
      <c r="A669" s="268" t="s">
        <v>1304</v>
      </c>
      <c r="B669" s="269" t="s">
        <v>598</v>
      </c>
      <c r="C669" s="270">
        <v>0.12</v>
      </c>
      <c r="D669" s="281" t="s">
        <v>962</v>
      </c>
      <c r="E669" s="272" t="s">
        <v>1305</v>
      </c>
    </row>
    <row r="670" ht="21.75" customHeight="1">
      <c r="A670" s="273"/>
      <c r="B670" s="163" t="s">
        <v>555</v>
      </c>
      <c r="C670" s="164">
        <v>0.02</v>
      </c>
      <c r="D670" s="189" t="s">
        <v>1306</v>
      </c>
      <c r="E670" s="166" t="s">
        <v>1307</v>
      </c>
    </row>
    <row r="671" ht="21.75" customHeight="1">
      <c r="A671" s="167"/>
      <c r="B671" s="269" t="s">
        <v>556</v>
      </c>
      <c r="C671" s="282" t="s">
        <v>667</v>
      </c>
      <c r="D671" s="281" t="s">
        <v>14</v>
      </c>
      <c r="E671" s="272" t="s">
        <v>1308</v>
      </c>
    </row>
    <row r="672" ht="21.75" customHeight="1">
      <c r="A672" s="167"/>
      <c r="B672" s="163" t="s">
        <v>557</v>
      </c>
      <c r="C672" s="164">
        <v>0.06</v>
      </c>
      <c r="D672" s="189" t="s">
        <v>14</v>
      </c>
      <c r="E672" s="166" t="s">
        <v>770</v>
      </c>
    </row>
    <row r="673" ht="21.75" customHeight="1">
      <c r="A673" s="274"/>
      <c r="B673" s="275" t="s">
        <v>581</v>
      </c>
      <c r="C673" s="276">
        <v>0.7</v>
      </c>
      <c r="D673" s="277">
        <v>0.08</v>
      </c>
      <c r="E673" s="278" t="s">
        <v>1309</v>
      </c>
    </row>
    <row r="674" ht="21.75" customHeight="1">
      <c r="A674" s="175" t="s">
        <v>573</v>
      </c>
      <c r="B674" s="163" t="s">
        <v>553</v>
      </c>
      <c r="C674" s="164">
        <v>0.28</v>
      </c>
      <c r="D674" s="189" t="s">
        <v>14</v>
      </c>
      <c r="E674" s="166" t="s">
        <v>1310</v>
      </c>
    </row>
    <row r="675" ht="21.75" customHeight="1">
      <c r="A675" s="268" t="s">
        <v>1311</v>
      </c>
      <c r="B675" s="269" t="s">
        <v>554</v>
      </c>
      <c r="C675" s="270">
        <v>0.37</v>
      </c>
      <c r="D675" s="281" t="s">
        <v>14</v>
      </c>
      <c r="E675" s="272" t="s">
        <v>1312</v>
      </c>
    </row>
    <row r="676" ht="21.75" customHeight="1">
      <c r="A676" s="273"/>
      <c r="B676" s="163" t="s">
        <v>555</v>
      </c>
      <c r="C676" s="164">
        <v>0.23</v>
      </c>
      <c r="D676" s="189" t="s">
        <v>14</v>
      </c>
      <c r="E676" s="166" t="s">
        <v>770</v>
      </c>
    </row>
    <row r="677" ht="21.75" customHeight="1">
      <c r="A677" s="167"/>
      <c r="B677" s="269" t="s">
        <v>556</v>
      </c>
      <c r="C677" s="270">
        <v>0.335</v>
      </c>
      <c r="D677" s="271">
        <v>0.1</v>
      </c>
      <c r="E677" s="272" t="s">
        <v>1313</v>
      </c>
    </row>
    <row r="678" ht="21.75" customHeight="1">
      <c r="A678" s="167"/>
      <c r="B678" s="163" t="s">
        <v>557</v>
      </c>
      <c r="C678" s="164">
        <v>0.07</v>
      </c>
      <c r="D678" s="189" t="s">
        <v>14</v>
      </c>
      <c r="E678" s="166" t="s">
        <v>770</v>
      </c>
    </row>
    <row r="679" ht="21.75" customHeight="1">
      <c r="A679" s="274"/>
      <c r="B679" s="275" t="s">
        <v>411</v>
      </c>
      <c r="C679" s="276">
        <v>0.745</v>
      </c>
      <c r="D679" s="283" t="s">
        <v>14</v>
      </c>
      <c r="E679" s="278" t="s">
        <v>1314</v>
      </c>
    </row>
  </sheetData>
  <mergeCells count="113">
    <mergeCell ref="A4:A7"/>
    <mergeCell ref="A10:A13"/>
    <mergeCell ref="A16:A19"/>
    <mergeCell ref="A22:A25"/>
    <mergeCell ref="A28:A31"/>
    <mergeCell ref="A34:A37"/>
    <mergeCell ref="A40:A43"/>
    <mergeCell ref="A46:A49"/>
    <mergeCell ref="A52:A55"/>
    <mergeCell ref="A58:A61"/>
    <mergeCell ref="A64:A67"/>
    <mergeCell ref="A70:A73"/>
    <mergeCell ref="A76:A79"/>
    <mergeCell ref="A82:A85"/>
    <mergeCell ref="A88:A91"/>
    <mergeCell ref="A94:A97"/>
    <mergeCell ref="A100:A103"/>
    <mergeCell ref="A106:A109"/>
    <mergeCell ref="A112:A115"/>
    <mergeCell ref="A118:A121"/>
    <mergeCell ref="A124:A127"/>
    <mergeCell ref="A130:A133"/>
    <mergeCell ref="A136:A139"/>
    <mergeCell ref="A142:A145"/>
    <mergeCell ref="A148:A151"/>
    <mergeCell ref="A154:A157"/>
    <mergeCell ref="A160:A163"/>
    <mergeCell ref="A166:A169"/>
    <mergeCell ref="A172:A175"/>
    <mergeCell ref="A178:A181"/>
    <mergeCell ref="A184:A187"/>
    <mergeCell ref="A190:A193"/>
    <mergeCell ref="A196:A199"/>
    <mergeCell ref="A202:A205"/>
    <mergeCell ref="A208:A211"/>
    <mergeCell ref="A214:A217"/>
    <mergeCell ref="A220:A223"/>
    <mergeCell ref="A226:A229"/>
    <mergeCell ref="A232:A235"/>
    <mergeCell ref="A238:A241"/>
    <mergeCell ref="A244:A247"/>
    <mergeCell ref="A250:A253"/>
    <mergeCell ref="A256:A259"/>
    <mergeCell ref="A262:A265"/>
    <mergeCell ref="A268:A271"/>
    <mergeCell ref="A274:A277"/>
    <mergeCell ref="A280:A283"/>
    <mergeCell ref="A286:A289"/>
    <mergeCell ref="A292:A295"/>
    <mergeCell ref="A634:A637"/>
    <mergeCell ref="A640:A643"/>
    <mergeCell ref="A646:A649"/>
    <mergeCell ref="A652:A655"/>
    <mergeCell ref="A658:A661"/>
    <mergeCell ref="A664:A667"/>
    <mergeCell ref="A670:A673"/>
    <mergeCell ref="A676:A679"/>
    <mergeCell ref="A592:A595"/>
    <mergeCell ref="A598:A601"/>
    <mergeCell ref="A604:A607"/>
    <mergeCell ref="A610:A613"/>
    <mergeCell ref="A616:A619"/>
    <mergeCell ref="A622:A625"/>
    <mergeCell ref="A628:A631"/>
    <mergeCell ref="A298:A301"/>
    <mergeCell ref="A304:A307"/>
    <mergeCell ref="A310:A313"/>
    <mergeCell ref="A316:A319"/>
    <mergeCell ref="A322:A325"/>
    <mergeCell ref="A328:A331"/>
    <mergeCell ref="A334:A337"/>
    <mergeCell ref="A340:A343"/>
    <mergeCell ref="A346:A349"/>
    <mergeCell ref="A352:A355"/>
    <mergeCell ref="A358:A361"/>
    <mergeCell ref="A364:A367"/>
    <mergeCell ref="A370:A373"/>
    <mergeCell ref="A376:A379"/>
    <mergeCell ref="A382:A385"/>
    <mergeCell ref="A388:A391"/>
    <mergeCell ref="A394:A397"/>
    <mergeCell ref="A400:A403"/>
    <mergeCell ref="A406:A409"/>
    <mergeCell ref="A412:A415"/>
    <mergeCell ref="A418:A421"/>
    <mergeCell ref="A424:A427"/>
    <mergeCell ref="A430:A433"/>
    <mergeCell ref="A436:A439"/>
    <mergeCell ref="A442:A445"/>
    <mergeCell ref="A448:A451"/>
    <mergeCell ref="A454:A457"/>
    <mergeCell ref="A460:A463"/>
    <mergeCell ref="A466:A469"/>
    <mergeCell ref="A472:A475"/>
    <mergeCell ref="A478:A481"/>
    <mergeCell ref="A484:A487"/>
    <mergeCell ref="A490:A493"/>
    <mergeCell ref="A496:A499"/>
    <mergeCell ref="A502:A505"/>
    <mergeCell ref="A508:A511"/>
    <mergeCell ref="A514:A517"/>
    <mergeCell ref="A520:A523"/>
    <mergeCell ref="A526:A529"/>
    <mergeCell ref="A532:A535"/>
    <mergeCell ref="A538:A541"/>
    <mergeCell ref="A544:A547"/>
    <mergeCell ref="A550:A553"/>
    <mergeCell ref="A556:A559"/>
    <mergeCell ref="A562:A565"/>
    <mergeCell ref="A568:A571"/>
    <mergeCell ref="A574:A577"/>
    <mergeCell ref="A580:A583"/>
    <mergeCell ref="A586:A589"/>
  </mergeCells>
  <hyperlinks>
    <hyperlink r:id="rId2" location="bCyDmggkkkaGhDmgbafbBufubbegGchxkFzfHwbBufuccekFzeGchBvjDabBufuddekLrjEfctbLnbBufueqejDaiJtkFzbKjbBufufkectkKubKjdCraDmcbbqbbrdDpaBbafadaBfaacbCybbaacbCydbaabbbbaacbCycbaacdBuBhbaaccGhbbaabcbaaacbCyccaacdBuBhcaaccGhbcaabdbaaacbCycdaacdBuBhdaaccGhbdaabebbaacbCyceaabfbaaacbCycfaabPqbbaabPqbaaabbebaabceaaabdeaaabeebaabfeaaabmbbaabmbbaabPqdbaabPqdbaabBmdaaabBmcbdaaa" ref="A2"/>
    <hyperlink r:id="rId3" location="bBwDmggkkkaEdDmgbbbfbsfubbegGchxkFzfHwbsfuccekFzeGchBvjDabsfuddekLrjEfctbLnbsfuedejDaiJtkFzbKjbsfufdectkKubKjdCraDmcbbqbbrdEcaDbbbkEaadajaabBabaaacbBwgbaacdsmbaabBmbaaacbBwcbaaebDwdaacbBwbbaabBohaaabBofaaabBogaaacbBwhvaabBbbadaaa" ref="A14"/>
    <hyperlink r:id="rId4" location="bBkDmggkkkaDxDmgbafbefubbegGchxkFzfHwbefuccekFzeGchBvjDabefuddekLrjEfctbLnbefueqejDaiJtkFzbKjbcfufdectkKubKjdCraDmcbcqbrbrdEaaDvaDbadavaacbBkbbaacbBkdbaabbbaaaccDxbdaabBcbaaabFxbaaacbBkebaabFxnaaabFzBaaaabFybaaabGacaaacbBkcbaabbcaaabccaaabdcaaabebaaacbBkfbaablbaaacbBkfaaablbaaabBcbadaaa" ref="A20"/>
    <hyperlink r:id="rId5" location="bkDmggkkkbbyDmgbbbffbBzfubbegGchxkFzfHwbBzfuccekFzeGchBvjDabBzfudgekLrjEfctbLnbBzfueqejDaiJtkFzbKjbcfufjectkKubKjdCrbBnfDmcbbqbbrdfaDsaDladaBcaabBcbbaabCgbbaacbkdbaabCfbbaacbkebaacbkcbaabBcbaaabBmcaaabBmbaaacbkecaabCgdbaabCfcbaabCfbaaabBmcaaabBmbbaabBcbbaabCgbbaabCfbaaacbkedaabBmcaaabBmbbaacbkeeaabBmcaaabBmbbaacbkefaabBcbbaabBmcaaabBmbbdaaa" ref="A26"/>
    <hyperlink r:id="rId6" location="bDvDmggkkkccdHnDmgbafbCafubbegGchxkFzfHwbCafuccekFzeGchBvjDabCafudgekLrjEfctbLnbCafuegejDaiJtkFzbKjbCafufgectkKubKjdCrcBrBsDmcbbqbbrdDsafaDpadakaaccHnbbaacbDveeaabUgbaaabUibbaabUkbbaabUjbaaaccHnbaaacbDveuaabUhpaaabUhebdaaa" ref="A62"/>
    <hyperlink r:id="rId7" location="bCwDmggkkkaDsDmgbafbBufubbegGchxkFzfHwbBufuccekFzeGchBvjDabBufuddekLrjEfctbLnbBufuelejDaiJtkFzbKjbBufufkectkKubKjdCrbBhdDmcbcqbpbrdCqaDbaDradayaabPabaaacbCwdbaacbCwebaabPobaaabBmbaaacbCwdcaacbCwecaacbCwcbaacbCwbbaacbCwedaabPadaaabbcaaabccaaabPjcaaabPbeaaaccDsbbaabbcaaabccaaabPjcaaabPabaaabPcbaaabPbeaaabBxeaaabBweadaaa" ref="A68"/>
    <hyperlink r:id="rId8" location="buDmgfkkkbbrDmgfafbBcfubbegGchxkFzfHwbBcfuccekFzeGchBvjDabBcfudhekLrjEfctbLnbBcfuedejDaiJtkFzbKjbBcfufiectkKubKjdCrbpDmcbbqbbrdDsaDvafadaeaabBcbaaabDyhaaabBmbbaabDycbdaaa" ref="A74"/>
    <hyperlink r:id="rId9" location="bBhDmggkkkdecbfBbDsDmgbafbBdfubbegGchxkFzfHwbBdfuccekFzeGchBvjDabBdfuddekLrjEfctbLnbBdfuelejDaiJtkFzbKjbcfufjectkKubKjdCraDmcbcqbpbrdCqaDbaDradataabBbbaaacdBdqbaabBmbaaabBabaaacdBdqcaacbBhcbaacbBhbbaabDlcaaabEpbaaabbcaaabccaaaccDsbbaabdcaaabecaaabbbaaabcbaaaebBycaacbBhdbaabEnbaaabBwcaaabBxbadaaa" ref="A92"/>
    <hyperlink r:id="rId10" location="bEaDmggkkkaHrDmgbcbcfbBvfubbegGchxkFzfHwbBvfuccekFzeGchBvjDabBvfuddekLrjEfctbLnbBvfueqejDaiJtkFzbKjbcfufjectkKubKjdCrbBiDmcbbqbbrdBkaDbaBwadaeaabBcbaaabVguaaabBmbaaabVigadaaa" ref="A98"/>
    <hyperlink r:id="rId11" location="bEcDmggkkkfbfwcdddeHtDmgbcbcfbCdfubbegGchxkFzfHwbCdfuccekFzeGchBvjDabCdfuddekLrjEfctbLnbCdfueqejDaiJtkFzbKjbCdfufjectkKubKjdCraDmcbbqbbrdEaaDbbbkBwdbFEqckdkdawbacfBwibbacfBwhbaacdCdBubaaebDwfbacfBwebaablbaaabbcaaabccaaabdbaaacfBweaaabdbaaabecaaabfcaaabVtjaaacdCdBuaaacdCdBvbbacfBwgbaaebDwcbacfBwebaabVvfaaabVqbaaabVsdaaabVrgabablbababbbababcbababdbababebababfbadaaa" ref="A104"/>
    <hyperlink r:id="rId12" location="bDhDmggkkkbcGqDmgbafbByfubbegGchxkFzfHwbByfuccekFzeGchBvjDabByfuddekLrjEfctbLnbByfuepejDaiJtkFzbKjbCafufjectkKubKjdCraDmcbabrdBdafaDpadaBdaacbDhdbaabRkbaaabRlbcaabRmbcaacbDhbBYaaacdByBobaabmbcaabRobcaacbDhbCHqaacdByBocaabbbcaacdByBodaabcbaaabdbaaabHdbcaabHdbcaabbbaaabcbaaabdbcaabHdbcaabHdbaaabbbaaabcbcaabdbcaabHdbaaabHdbaaabRlbaaacbDhbCJoaabBmbcdaaa" ref="A110"/>
    <hyperlink r:id="rId13" location="bDwDmggkkkdfgeDxDmgbafbCbfubbegGchxkFzfHwbCbfuccekFzeGchBvjDabCbfuddekLrjEfctbLnbCbfuepejDaiJtkFzbKjbCbfufjectkKubKjdCraDmcbabrdBdaDvafbcbdaraabBabbaacdCbBpbaacdCbBqbaacbDwcbaacbDwdbaaccDxbcaabBmbbaabbbcaaccDxbdaabUyfaaabbfcaablgaaaccDxbcaacbDwdaaabbbaaabjbcaabkbadaaa" ref="A122"/>
    <hyperlink r:id="rId14" location="bhDmggkkkdbfgHlDmgbbcfbBufubbegGchxkFzfHwbBufuccekFzeGchBvjDabBufuddekLrjEfctbLnbBufuepejDaiJtkFzbKjbBufufkectkKubKjdCrbBhdDmcbbqbbrdDbaBzaDpadabaaebBypaacbhdbaacbhedaabBdbcaabEmbcaabEkdaaabElbaaabbbcaabcbaaabBebcaabdbcaabebaaabBfbcaabbbcaabcbaaabdbcdaaa" ref="A128"/>
    <hyperlink r:id="rId15" location="bCpDmggkkkaFnDmgbafbBefubbegGchxkFzfHwbBefuccekFzeGchBvjDabBefudgekLrjEfctbLnbBefuepejDaiJtkFzbKjbBefufjectkKubKjdCraDmcbbqebrdBxajaDcadapaabNmbaaaccFnbcaabNnbaaabNohaaabBvjaaabNpbaaacbCpdbaabNpbaaacbCpdcaabNpbaaacbCpddaabNpbaaacbCpdeaabNplaaabNqbadaaa" ref="A134"/>
    <hyperlink r:id="rId16" location="bBlDmggkkkcbeDyDmgbbbdfbBmfubbegGchxkFzfHwbBmfuccekFzeGchBvjDabBmfuddekLrjEfctbLnbBmfuepejDaiJtkFzbKjbBmfufjectkKubKjdCrcwzDmcbbqcbrdjaDyaDcadaBlaabbbaaacbBlccaabHlbaaabcbaaacbBlcdaabGcbaaabdbaaacbBlceaabebaaacbBlcgaabHmbaaabfbaaacbBlchaabGfbaaabbbaaacbBlcjaabHlbaaabcbaaacbBlckaabGcbaaabdbaaabebaaabHmbaaabfbaaabGfbaaabbbaaabHlbaaabcbaaabGcbaaabdbaaabebaaabHmbaaabfbaaabGfbaaabBmbaaabGghaaabBvnadaaa" ref="A140"/>
    <hyperlink r:id="rId17" location="bpDmggkkkdbdeGhDmgbbbdfbBufubbegGchxkFzfHwbBufuccekFzeGchBvjDabBufuddekLrjEfctbLnbBufuepejDaiJtkFzbKjbcfufkectkKubKjdCrbBhdDmcbbqbbrdDbaBdaDpadaoaabEwbcaabBmmaaabBmecaabDrcaaabDrbcaabDsiaaabDsbcaabmbaaabbbcaabbdaaabmecaabEvdcaabEvhaaaebByadaaa" ref="A152"/>
    <hyperlink r:id="rId18" location="bCvDmggkkkcbfcGbDmgbafbBufubbegGchxkFzfHwbBufuccekFzeGchBvjDabBufuddekLrjEfctbLnbBufuepejDaiJtkFzbKjbcfufkectkKubKjdCraDmcbbqebrdDcaBxafbckdasaacbCvdbaabOubaaacbCvebaabOybaaabOvcaaacdBuBhdaacbCvdcaabOucaaabOycaaabOvcaaacbCvddaabOwbaaabBcbaaabBmbaaabOzbaaabOubaaabOybaaabOvbadaaa" ref="A158"/>
    <hyperlink r:id="rId19" location="bDsDmggkkkgbHscdegiHlDmgbcbcfbCbfubbegGckFzhxfHwbCbfuccekFzeGchBvjDabCbfudgekLrjEfctbLnbCbfuepejDaiJtkFzbKjbCbfufkectkKubKjdCrcBpBqDmcbbqbcrdDvaDpafaBfEDZsdaqaacbDshbaabBcbaaabUueaaabUveaaacbDshaaacbDsfBoaabBmbbaabUqcaaabUqcbaabUrbbaabUtbaaabUqcaaabUqcbaabUrbaaabUtbaaabUwdadaaa" ref="A164"/>
    <hyperlink r:id="rId20" location="blDmggkkkbbDcDmgbafbBufubbegGchxkFzfHwbBufuccekFzeGchBvjDabBufudgekLrjEfctbLnbBufuepejDaiJtkFzbKjbcfufjectkKubKjdCrbBhdDmcbbqebrdBzaDbaDfadakaabmccaabmbcaabrccaabmccaabrbcaabDkccaabrccaabBmbcaabDkdaaabpdadaaa" ref="A188"/>
    <hyperlink r:id="rId21" location="gid=2016792056" ref="A212"/>
    <hyperlink r:id="rId22" location="bByDmggkkkdbcfdErDmgbbbcfbBmfubbegGchxkFzfHwbBmfuccekFzeGchBvjDabBmfuddekLrjEfctbLnbBmfuerejDaiJtkFzbKjbcfufjectkKubKjdCrcwzDmcbabrdBjaBzaEeadaeaabJdsaaabJcbaaabJbcaaaebByeaacbByebaabIygaaabIzgaaabJagadaaa" ref="A218"/>
    <hyperlink r:id="rId23" location="bBzDmggkkkaEsDmgbbbfbBefubbegGchxkFzfHwbBefuccekFzeGchBvjDabBefudhekLrjEfctbLnbBefuerejDaiJtkFzbKjbBefufjectkKubKjdCraDmcbbqbbrdDhafaBdadalaabBcbcaacbBzcbaabBcbaaacbBzccaabBmbaaabJyfaaabbbaaabJzBfaaabJzccaabKagaaabKabcdaaa" ref="A242"/>
    <hyperlink r:id="rId24" location="bBpDmggkkkaEeDmgbafbBlfubbegGchxkFzfHwbBlfuccekFzeGchBvjDabBlfudfekLrjEfctbLnbBlfuerejDaiJtkFzbKjbBlfufiectkKubKjdCrbuBSJwDmcbbqbbrdDbbbkEaaDvadakaabHueaaacbBpbbaacbBpdbaabBmbaaabHugaaabbhaaabchaaabdhaaabIchaaabIhfadaaa" ref="A254"/>
    <hyperlink r:id="rId25" location="brDmggkkkdecddCdDmgfafbsfubbegGchxkFzfHwbsfuccekFzeGchBvjDabsfudhekLrjEfctbLnbsfuedejDaiJtkFzbKjbsfufjectkKubKjdCraDmcbbqbbrdEaaDvaDbadahaabybaaacdsmbaacbrbbaabydaaabzbaaabBmbaaabmcadaaa" ref="A260"/>
    <hyperlink r:id="rId26" location="bDoDmggkkkebdcbddfGwDmgbbbefbCbfubbegGchxkFzfHwbCbfuccekFzeGchBvjDabCbfudfekLrjEfctbLnbCbfuerejDaiJtkFzbKjbcfufgectkKubKjdCrbBpDmcbabrdCgaDpaDsadahaacdCbBqbaacbDoebaabSnbcaabSnbcaabSnbcaabBmbcaabSnbcdaaa" ref="A266"/>
    <hyperlink r:id="rId27" location="bCzDmggkkkbbdGiDmgbbbdfbBufubbegGchxkFzfHwbBufuccekFzeGchBvjDabBufudfekLrjEfctbLnbBufuerejDaiJtkFzbKjbBufufjectkKubKjdCrbBhdDmcbabrdDbbbbDpbbbBjadalaacbCzcCnaabBcbaaabBmbaaabPscaaacbCzcCxaabPrjaaabPrjaaabPrjaaabPocaaabBcbaaabPtoadaaa" ref="A272"/>
    <hyperlink r:id="rId28" location="bCiDmggkkkfbcdefFfDmgbbbdfbBtfubbegGchxkFzfHwbBtfuccekFzeGchBvjDabBtfudfekLrjEfctbLnbBtfuefejDaiJtkFzbKjbBtfuffectkKubKjdCraDmcbbqbcrdCnaCjaBdawdalaabBcbaaabMebaaabMfbaaacdBtBgfaabMgbaaabBmbaaabMabaaabLqhaaabMbfaaabMcfaaabMdfadaaa" ref="A278"/>
    <hyperlink r:id="rId29" location="bDjDmggkkkdbdOUqeGtDmgbafbBtfubbegGchxkFzfHwbBtfuccekFzeGchBvjDabBtfudfekLrjEfctbLnbBtfuefejDaiJtkFzbKjbcfuffectkKubKjdCraDmcbbqbbrdDbaCjaCiadalaabOnbaaabSabaaaccGtbdaacdBtBgcaabSadaaabSaeaaacbDjfbaabBmfaaacdBtBgfaabBmgaaabLqeadaaa" ref="A284"/>
    <hyperlink r:id="rId30" location="bxDmggkkkbbEiDmgbafbBsfubbegGchxkFzfHwbBsfuccekFzeGchBvjDabBsfuddekLrjEfctbLnbBsfuerejDaiJtkFzbKjbBsfufjectkKubKjdCraDmcbbqbbrdBjaBbafadasaabubaaacdBsBfbaaccEibbaabbbcaabDzbaaacdBsBfcaaccEibcaablbcaacdBsBfdaaccEibdaabBmbcaaccEibeaabGhbcaabbeaaabceaaableaaabDzdaaabDzcadaaa" ref="A296"/>
    <hyperlink r:id="rId31" location="bDbDmggkkkaGjDmgbcbdccfbBufubbegGchxkFzfHwbBufuccekFzeGchBvjDabBufudfekLrjEfctbLnbBufuerejDaiJtkFzbKjbBufufkectkKubKjdCraDmcbbqbbrdDvaEaaBzadahaabPxbaaacbDbebaacbDbdaaabBmbaaacdBuBhdaacbDbbeaaebDmhaacbDbcBEuaabPzmaaabPygaaabQaeaaabbcaaabccaaabdcadaaa" ref="A302"/>
    <hyperlink r:id="rId32" location="bDbDmggkkkaGjDmgbcbdccfbBufubbegGchxkFzfHwbBufuccekFzeGchBvjDabBufudfekLrjEfctbLnbBufuerejDaiJtkFzbKjbBufufkectkKubKjdCraDmcbbqbbrdDvaEaaBzadalaabPxbaaabBmbaaacdBuBhdaacbDbbeaacbDbebaacbDbdbaaebDmfaacbDbcBEuaabOwcaaabbcaaabccaaabdcaaacbDbeaaabmbaaacbDbdaaaebDweaacbDbcBEuaabPzgaaabPydaaabQacadaaa" ref="D307"/>
    <hyperlink r:id="rId33" location="bDzDmggkkkecdbghHqDmgbcbcfbCcfubbegGchxkFzfHwbCcfuccekFzeGchBvjDabCcfuddekLrjEfctbLnbCcfuemejDaiJtkFzbKjbCcfufjectkKubKjdCraDmcbabrdDyaDcaDsadalaabVccaaacdCcBteaabmcaaacdCcBtfaabrcaaabVeeaaacbDzbbaabVccaaabmcaaabrcaaabBvdadaaa" ref="A320"/>
    <hyperlink r:id="rId34" location="bBoDmggkkkdbcdCiEdDmgbbbfbBefubbegGchxkFzfHwbBefuccekFzeGchBvjDabBefuddekLrjEfctbLnbBefuemejDaiJtkFzbKjbBefufjectkKubKjdCraDmcbbqbbrdDcafaBbadafaabBcbaaabHsqaaabHtbaaabbfaaablfadaaa" ref="A338"/>
    <hyperlink r:id="rId35" location="bBxDmggkkkaEpDmgbbbdfbBvfubbegGchxkFzfHwbBvfuccekFzeGchBvjDabBvfuddekLrjEfctbLnbBvfuedejDaiJtkFzbKjbcfufjectkKubKjdCrbBiDmcbbqbbrdDsaDcaDradahaacbBxbbaabBmbaaabIwdaaabIvhaaabIvhaaabIvhaaabBveadaaa" ref="A344"/>
    <hyperlink r:id="rId36" location="bDiDmggkkkfbBMmcddecgGrDmgbbbdfbByfubbegGchxkFzfHwbByfuccekFzeGchBvjDabByfuddekLrjEfctbLnbByfuemejDaiJtkFzbKjbcfufjectkKubKjdCrbBodDmcbabrdDcafajadagaabBmfaaabRudaaadfcaabRrdaaabRudaaabRxkaaabBvcaaabRygadaaa" ref="A356"/>
    <hyperlink r:id="rId37" location="bChDmggkkkbbFcDmgbafbBofubbegGchxkFzfHwbBofuccekFzeGchBvjDabBofudgekLrjEfctbLnbBofuemejDaiJtkFzbKjbcfufgectkKubKjdCrbBbDmcbbqbbrdBdajaCjadaBmaabBcbdaaccFcbbaacbChbbaabbbaaacbChdbaabMlbaaabcbdaacbChdcaabdbaaacbChddaabMlbaaabMkbdaaccFcbcaacbChcbaabbbdaacbChdeaabMlbaaabcbaaacbChdfaabdbdaabebdaabfbaaabbbdaabMleaaabMkbaaaccFcbdaabMldaaabbcdaabccdaabdcaaabecaaabfcaaabbcdaabMkcdaabMlgaaabLpqaaabBucaaabMljadaaa" ref="A362"/>
    <hyperlink r:id="rId38" location="boDmggkkkdbdzDxDmgbafbxfubbegGckFzhxfHwbxfuccekFzeGchBvjDabxfuddekLrjEfctbLnbxfuemejDaiJtkFzbKjbxfufjectkKubKjdCraDmcbbqcbrdfaDcajadasaacboebaabDpbaaaccDxbcaacbocbaacboecaabBmbaaabEuiaaabEtbaaacboedaabDobaaabDqbaaacboeeaaccDxbdaabbeaaabDpbaaableaaabDnbaaabBvbadaaa" ref="A404"/>
    <hyperlink r:id="rId39" location="bCeDmggkkkbdCoDmgfafbBwfubbegGchxkFzfHwbBwfuccekFzeGchBvjDabBwfudhekLrjEfctbLnbBwfuefejDaiJtkFzbKjbBwfufiectkKubKjdCraDmcbbqbbrdCjajaCoadaiaabLubdaabbbaaabLvbdaabLvcaaabLwedaabLwgaaabLxbdaabLxdadaaa" ref="A410"/>
    <hyperlink r:id="rId40" location="bEeDmggkkkcbcIoDmgbcbcfbBofubbegGchxkFzfHwbBofuccekFzeGchBvjDabBofuddekLrjEfctbLnbBofuedejDaiJtkFzbKjbcfufjectkKubKjdCrbBbDmcbabrdCzaDbaDpadahaabBcbaaabVwkaaabBmbaaabVxkaaabVykaaabVzbaaabWafadaaa" ref="A416"/>
    <hyperlink r:id="rId41" location="gid=496818823" ref="A422"/>
    <hyperlink r:id="rId42" location="bDqDmggkkkaHiDmgbafbCbfubbegGchxkFzfHwbCbfuccekFzeGchBvjDabCbfuddekLrjEfctbLnbCbfuedejDaiJtkFzbKjbCbfufkectkKubKjdCrbBpDmcbbqbbrdDbbbkEaafbckdaBeaabSzbaaabCacaaacdCbBqbaaccHibbaabTobcaabTbfaaabTccaaabTdcaaabTgcbaabTcdbaabTcbcaabTwbcaabTccaaabTxcaaabTdfaaabTzbbaabTgfaaabThbaaabTjbbaabTjbaaabTkcaaabTmcaaabTwbaaabBydaaacbDqbbaabTbdaaabTcdcaabTccaaabTdfaaabTgfadaaa" ref="A428"/>
    <hyperlink r:id="rId43" location="bDqDmgckkkaHiDmgbafbCbfubbegGchxkFzfHwbCbfuccekFzeGchBvjDabCbfuddekLrjEfctbLnbCbfuedejDaiJtkFzbKjbCbfufkectkKubKjdCrbBpDmcbbqbbrdDbbbkEaafbckdauaabSzbaaabCacaaacdCbBqbaaccHibbaabTobcaabTbeaaabTccaaabTdbaaabTgbbaabTcdbaabTcbcaabTccaaabTdfaaabTgfaaabThbaaabTjbbaabTjbaaabTkcaaabTmcaaabBydadaaa" ref="D428"/>
    <hyperlink r:id="rId44" location="bDqDmgckkkaHiDmgbafbCbfubbegGchxkFzfHwbCbfuccekFzeGchBvjDabCbfuddekLrjEfctbLnbCbfuedejDaiJtkFzbKjbCbfufkectkKubKjdCrbBpDmcbbqbbrdDbbbkDvafbckdauaabSzbaaabCacaaacdCbBqbaaccHibbaabTobcaabTbhaaabTcfcaabTdeaaabTgdaaabTgcbaabTwdaaabTxcaaabTzcaaabThbaaabTjbbaabTjbaaabTkcaaabTmcaaabBydaaabTpbadaaa" ref="D429"/>
    <hyperlink r:id="rId45" location="bDqDmgekkkaHiDmgbafbCbfubbegGchxkFzfHwbCbfuccekFzeGchBvjDabCbfuddekLrjEfctbLnbCbfuedejDaiJtkFzbKjbCbfufkectkKubKjdCrbBpDmcbbqbbrdDbbbkEaafbckdayaabSzbaaabCacaaacdCbBqbaaccHibbaabTobcaabTbeaaabTccaaabTdbaaabTgbbaabTcdbaabTcbcaabTwbaaabTccaaabTxcaaabTdfaaabTzbaaabTgfaaabThbaaabTjbbaabTjbaaabTkcaaabTmcaaabTwbaaabBydadaaa" ref="D431"/>
    <hyperlink r:id="rId46" location="bClDmggkkkbbGhDmgbbbdfbBafubbegGchxkFzfHwbBafuccekFzeGchBvjDabBafuddekLrjEfctbLnbBafuenejDaiJtkFzbKjbcfufkectkKubKjdCrbrfDmcbbqbbrdDbbbkEaaDvadapaabBcbaaacbClbbaacbClcjaabbhaaabMshaaabchaaabMthaaabdgaaabMugaaabMrmaaacbCleHsaabBmfaaabByeaaabCaeaaabrbadaaa" ref="A440"/>
    <hyperlink r:id="rId47" location="bBjDmggkkkddibcDtDmgbbbfbBafubbegGchxkFzfHwbBafuccekFzeGchBvjDabBafudgekLrjEfctbLnbBafuegejDaiJtkFzbKjbBafufgectkKubKjdCrbriDmcbbqcbrdCpaBbafadanaabBabaaabCjbaaabCmbaaaccDtbbaabbcaaablcaaabErbaaabBbbaaabCjbaaabCmbaaabBofaaabBlfaaabCbhadaaa" ref="A464"/>
    <hyperlink r:id="rId48" location="bBcDmggkkkbbDcDmgbafbCcfubbegGchxkFzfHwbCcfuccekFzeGchBvjDabCcfuddekLrjEfctbLnbCcfuedejDaiJtkFzbKjbcfufjectkKubKjdCrbBtfDmcbabrdDfaCmaDbadanaacbBcdbaabBcbaaacdCcBtcaacbBcdcaabBcbaaabBcbaaacdCcBteaacbBcccaabrbaaacdCcBtfaabpdaaabrfaaabCafadaaa" ref="A470"/>
    <hyperlink r:id="rId49" location="bDfDmggkkkbdGnDmgbafbCcfubbegGchxkFzfHwbCcfuccekFzeGchBvjDabCcfuddekLrjEfctbLnbCcfuenejDaiJtkFzbKjbCcfufjectkKubKjdCraDmcbbqbbrdmaCmafadavaabBcbaaabQwbaaacdCcBtdaacbDfbbaaccGnbbaabBmbaaabQzgaaacbDfcbaacbDfebaabBcbaaacdCcBtfaabQybaaacbDfbcaacbDfecaabBcbaaabQybaaacbDfedaacbDfbeaabBceaaabQyeaaabCbcadaaa" ref="A494"/>
    <hyperlink r:id="rId50" location="bDxDmggkkkaHoDmgbafbBafubbegGchxkFzfHwbBafuccekFzeGchBvjDabBafudgekLrjEfctbLnbBafuegejDaiJtkFzbKjbBafufgectkKubKjdCrbrgDmcbabrdDbbbkjaDradasaabBmbaaaccHodbaabCabaaabUzhaaaccHobbaaccHocbaabBcbaaabUzgaaabVahaaacbDxbbaabCabaaabBubaaacbDxcbaabBzeaaacbDxdbaabBzcaaabBubaaabCabadaaa" ref="A506"/>
    <hyperlink r:id="rId51" location="bBaDmggkkkebdefbBbDmgbbbfbBafubbegGchxkFzfHwbBafuccekFzeGchBvjDabBafuddekLrjEfctbLnbBafuenejDaiJtkFzbKjbBafufjectkKubKjdCrbrbDmcbbqbbrdBkaBwaDpadaeaabBcbaaabBouaaabBitaaabByiadaaa" ref="A512"/>
    <hyperlink r:id="rId52" location="bDpDmggkkkcbdHdDmgbafbCbfubbegGchxkFzfHwbCbfuccekFzeGchBvjDabCbfudeekLrjEfctbLnbCbfueoejDaiJtkFzbKjbCbfufkectkKubKjdCrcBpBqDmcbadrdBtaDgaBzafgdanaabSwbabacgaCbbbacdCaBsbaacbDpebaabSsdaaaccHdbcaaccHdcbaabStdaaacbDpeaaabSudaaabSvdaaabBmdababJhiadaaa" ref="A530"/>
    <hyperlink r:id="rId53" location="bDdDmggkkkebgcldfGmDmgbbbcfbBxfubbegGchxkFzfHwbBxfuccekFzeGchBvjDabBxfuddekLrjEfctbLnbBxfueoejDaiJtkFzbKjbcfufkectkKubKjdCraDmcbbqccrdDpaDbbbkEaagdaoaabBmbaaabQtmaaacdBxBlbaacdBxBmbaacgafbaabQsbaaabQsbaaabOnbaaabbcaaabccaaabdcaaabbcaaabccaaabQtcadaaa" ref="A536"/>
    <hyperlink r:id="rId54" location="bDgDmggkkkdbcdGoDmgbbbfbBkfubbegGchxkFzfHwbBkfuccekFzeGchBvjDabBkfudeekLrjEfctbLnbBkfueoejDaiJtkFzbKjbBkfufjectkKubKjdCrcteveDmcbbqecrdCvafaBfagdaraabRhfaaabRicabaccEmbbaabRhfaaabRjdaaabRjdaaacgafbaabRibaaabBmbaaabbbaaabcbaaabdbaaabbbaaabcbaaabdbaaabRibaaabRheadaaa" ref="A542"/>
    <hyperlink r:id="rId55" location="bBuDmggkkkcbddEnDmgbafbBkfubbegGchxkFzfHwbBkfuccekFzeGchBvjDabBkfudeekLrjEfctbLnbBkfueoejDaiJtkFzbKjbcfufjectkKubKjdCrcteveDmcbadrdDpafaDsafgdabaaebCxjaacbBucbaabBcbaaabIinaaabIjbaaabbbaaabcbaaabIidaaabIjbaaabBcbadaaa" ref="A566"/>
    <hyperlink r:id="rId56" location="bbDmggkkkccdeGoDmgbbbfbBkfubbegGchxkFzfHwbBkfuccekFzeGchBvjDabBkfudeekLrjEfctbLnbBkfueoejDaiJtkFzbKjbcfufjectkKubKjdCrcteveDmcbbqbcrdDdarajagdalbaccHdbcbaccHdcbbabbbababcbaaaebBydaacbbbbaabCzfaaabCzeaaacgafbaacbbfbaabBcbaaabCzbaaabBmbaaabEhdadaaa" ref="A572"/>
    <hyperlink r:id="rId57" location="bBfDmggkkkcbcdDmDmgfafbcfubbegGchxkFzfHwbcfuccekFzeGchBvjDabcfudfekLrjEfctbLnbcfueoejDaiJtkFzbKjbcfufjectkKubKjdCrbBceDmcbbqbbrdDhaBdafadaeaabBabaaabEgbaaabEfgaaabBmbadaaa" ref="A578"/>
    <hyperlink r:id="rId58" location="gid=1177698765" ref="A602"/>
    <hyperlink r:id="rId59" location="bDlDmggkkkcbcGuDmgbbbcfbBzfubbegGchxkFzfHwbBzfuccekFzeGchBvjDabBzfuddekLrjEfctbLnbBzfuesejDaiJtkFzbKjbcfufjectkKubKjdCrbBnfDmcbcqetdrdDnaDsafawxdataabSfcaaabShgaaabSfcaaabSfcaaabSgbaaabSfcaaabSfcaaabSgbaaabSfcaaabSfcaaabSfcaaabSgbaaabSfcaaabBtyaaabSgfaaabbbaaabcbaaabdbaaabebadaaa" ref="A608"/>
    <hyperlink r:id="rId60" location="bCsDmggkkkaHnDmgbbbfbBpfubbegGchxkFzfHwbBpfuccekFzeGchBvjDabBpfudhekLrjEfctbLnbBpfuefejDaiJtkFzbKjbcfufiectkKubKjdCrbBaDmcbbqbbrdDbaCzaDsadagaabBcdaaacbCsebaabObgaaabBtbaaabBcdaaabOddadaaa" ref="A626"/>
    <hyperlink r:id="rId61" location="bCoDmggkkkdbcdddoDmgbafbBpfubbegGchxkFzfHwbBpfuccekFzeGchBvjDabBpfudgekLrjEfctbLnbBpfuesejDaiJtkFzbKjbcfufkectkKubKjdCrbBaDmcbadrdBdaCaaCjawxdaraacbCoccaacbCodcaabMzbdaacbCoddaacbCoebaabrbaaabNebdaabMyhaaabMyddaacbCoceaabbeaaabcedaabdeaaabNebdaabNebaaabNdbdaabNdbadaaa" ref="A638"/>
    <hyperlink r:id="rId62" location="bCjDmggkkkdcfebFiDmgbafbBpfubbegGchxkFzfHwbBpfuccekFzeGchBvjDabBpfudgekLrjEfctbLnbBpfuegejDaiJtkFzbKjbcfufjectkKubKjdCrbBaDmcbabrdjaBzaCaadaoaabBbbdaabMmgdaacbCjdbaabMmddaabbbdaabbcaaabccaaabcbaaabdcaaabdbdaabebdaabecaaabMpdaaabMpdddaaa" ref="A644"/>
    <hyperlink r:id="rId63" location="bCcDmggkkkaEvDmgbafbBpfubbegGchxkFzfHwbBpfuccekFzeGchBvjDabBpfudgekLrjEfctbLnbBpfuesejDaiJtkFzbKjbBpfufkectkKubKjdCraDmcbbqbbrdjaBxawadaraabBcbdaacbCccbaacdBpBabaacbCcdbaabLgbdaacbCcebaabLgbdaabLgeaaabLhcdaabLheaaacbCcbbaabLebaaaccEvbbaabLecdaabLfedaabLfiaaabLrdddaaa" ref="A656"/>
    <hyperlink r:id="rId64" location="gid=326467335" ref="A668"/>
    <hyperlink r:id="rId65" location="gid=1953855719" ref="A674"/>
  </hyperlinks>
  <drawing r:id="rId66"/>
  <legacyDrawing r:id="rId6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88"/>
    <col customWidth="1" min="2" max="2" width="19.0"/>
    <col customWidth="1" min="3" max="3" width="14.25"/>
    <col customWidth="1" min="4" max="4" width="14.88"/>
    <col customWidth="1" min="5" max="5" width="54.25"/>
  </cols>
  <sheetData>
    <row r="1" ht="20.25" customHeight="1">
      <c r="A1" s="284" t="s">
        <v>68</v>
      </c>
      <c r="B1" s="284" t="s">
        <v>1315</v>
      </c>
      <c r="C1" s="285" t="s">
        <v>1316</v>
      </c>
      <c r="D1" s="285" t="s">
        <v>1317</v>
      </c>
      <c r="E1" s="285" t="s">
        <v>89</v>
      </c>
    </row>
    <row r="2" ht="20.25" customHeight="1">
      <c r="A2" s="286" t="s">
        <v>576</v>
      </c>
      <c r="B2" s="287" t="s">
        <v>1318</v>
      </c>
      <c r="C2" s="288">
        <v>0.9</v>
      </c>
      <c r="D2" s="289">
        <v>0.96</v>
      </c>
      <c r="E2" s="156" t="s">
        <v>1319</v>
      </c>
    </row>
    <row r="3" ht="20.25" customHeight="1">
      <c r="A3" s="290"/>
      <c r="B3" s="291" t="s">
        <v>1320</v>
      </c>
      <c r="C3" s="292">
        <v>2.0</v>
      </c>
      <c r="D3" s="293">
        <v>2.5</v>
      </c>
      <c r="E3" s="161" t="s">
        <v>1321</v>
      </c>
    </row>
    <row r="4" ht="20.25" customHeight="1">
      <c r="A4" s="294"/>
      <c r="B4" s="287" t="s">
        <v>1322</v>
      </c>
      <c r="C4" s="295">
        <v>2100.0</v>
      </c>
      <c r="D4" s="296">
        <v>2700.0</v>
      </c>
      <c r="E4" s="156" t="s">
        <v>1323</v>
      </c>
    </row>
    <row r="5" ht="20.25" customHeight="1">
      <c r="A5" s="294"/>
      <c r="B5" s="291" t="s">
        <v>1324</v>
      </c>
      <c r="C5" s="297">
        <v>0.0</v>
      </c>
      <c r="D5" s="298">
        <v>250.0</v>
      </c>
      <c r="E5" s="161" t="s">
        <v>1325</v>
      </c>
    </row>
    <row r="6" ht="20.25" customHeight="1">
      <c r="A6" s="294"/>
      <c r="B6" s="287" t="s">
        <v>1326</v>
      </c>
      <c r="C6" s="288">
        <v>1.0</v>
      </c>
      <c r="D6" s="289">
        <v>1.3</v>
      </c>
      <c r="E6" s="156" t="s">
        <v>1327</v>
      </c>
    </row>
    <row r="7" ht="20.25" customHeight="1">
      <c r="A7" s="294"/>
      <c r="B7" s="291" t="s">
        <v>1328</v>
      </c>
      <c r="C7" s="297">
        <v>763.0</v>
      </c>
      <c r="D7" s="298">
        <v>800.0</v>
      </c>
      <c r="E7" s="161" t="s">
        <v>1329</v>
      </c>
    </row>
    <row r="8" ht="20.25" customHeight="1">
      <c r="A8" s="294"/>
      <c r="B8" s="299" t="s">
        <v>1330</v>
      </c>
      <c r="C8" s="300" t="s">
        <v>1331</v>
      </c>
      <c r="D8" s="301" t="s">
        <v>1332</v>
      </c>
      <c r="E8" s="302" t="s">
        <v>1329</v>
      </c>
    </row>
    <row r="9" ht="20.25" customHeight="1">
      <c r="A9" s="303" t="s">
        <v>585</v>
      </c>
      <c r="B9" s="287" t="s">
        <v>1318</v>
      </c>
      <c r="C9" s="288">
        <v>0.35</v>
      </c>
      <c r="D9" s="289">
        <v>0.5</v>
      </c>
      <c r="E9" s="156" t="s">
        <v>1333</v>
      </c>
    </row>
    <row r="10" ht="20.25" customHeight="1">
      <c r="A10" s="290"/>
      <c r="B10" s="291" t="s">
        <v>1320</v>
      </c>
      <c r="C10" s="292">
        <v>0.7</v>
      </c>
      <c r="D10" s="293">
        <v>1.0</v>
      </c>
      <c r="E10" s="161" t="s">
        <v>1334</v>
      </c>
    </row>
    <row r="11" ht="20.25" customHeight="1">
      <c r="A11" s="294"/>
      <c r="B11" s="287" t="s">
        <v>1322</v>
      </c>
      <c r="C11" s="295">
        <v>2100.0</v>
      </c>
      <c r="D11" s="296">
        <v>3000.0</v>
      </c>
      <c r="E11" s="156" t="s">
        <v>1335</v>
      </c>
    </row>
    <row r="12" ht="20.25" customHeight="1">
      <c r="A12" s="294"/>
      <c r="B12" s="291" t="s">
        <v>1324</v>
      </c>
      <c r="C12" s="297">
        <v>0.0</v>
      </c>
      <c r="D12" s="298">
        <v>100.0</v>
      </c>
      <c r="E12" s="161" t="s">
        <v>1336</v>
      </c>
    </row>
    <row r="13" ht="20.25" customHeight="1">
      <c r="A13" s="294"/>
      <c r="B13" s="287" t="s">
        <v>1326</v>
      </c>
      <c r="C13" s="288">
        <v>1.5</v>
      </c>
      <c r="D13" s="289">
        <v>2.5</v>
      </c>
      <c r="E13" s="156" t="s">
        <v>1337</v>
      </c>
    </row>
    <row r="14" ht="20.25" customHeight="1">
      <c r="A14" s="294"/>
      <c r="B14" s="291" t="s">
        <v>1328</v>
      </c>
      <c r="C14" s="297">
        <v>546.0</v>
      </c>
      <c r="D14" s="298">
        <v>600.0</v>
      </c>
      <c r="E14" s="161" t="s">
        <v>1329</v>
      </c>
    </row>
    <row r="15" ht="20.25" customHeight="1">
      <c r="A15" s="304"/>
      <c r="B15" s="299" t="s">
        <v>1330</v>
      </c>
      <c r="C15" s="300" t="s">
        <v>1267</v>
      </c>
      <c r="D15" s="301" t="s">
        <v>1338</v>
      </c>
      <c r="E15" s="305" t="s">
        <v>1329</v>
      </c>
    </row>
    <row r="16" ht="20.25" customHeight="1">
      <c r="A16" s="303" t="s">
        <v>697</v>
      </c>
      <c r="B16" s="287" t="s">
        <v>1318</v>
      </c>
      <c r="C16" s="288">
        <v>0.8</v>
      </c>
      <c r="D16" s="289">
        <v>0.9</v>
      </c>
      <c r="E16" s="156" t="s">
        <v>1339</v>
      </c>
    </row>
    <row r="17" ht="20.25" customHeight="1">
      <c r="A17" s="290"/>
      <c r="B17" s="291" t="s">
        <v>1320</v>
      </c>
      <c r="C17" s="292">
        <v>1.8</v>
      </c>
      <c r="D17" s="293">
        <v>2.2</v>
      </c>
      <c r="E17" s="161" t="s">
        <v>1340</v>
      </c>
    </row>
    <row r="18" ht="20.25" customHeight="1">
      <c r="A18" s="294"/>
      <c r="B18" s="287" t="s">
        <v>1322</v>
      </c>
      <c r="C18" s="295">
        <v>1800.0</v>
      </c>
      <c r="D18" s="296">
        <v>2500.0</v>
      </c>
      <c r="E18" s="156" t="s">
        <v>1341</v>
      </c>
    </row>
    <row r="19" ht="20.25" customHeight="1">
      <c r="A19" s="294"/>
      <c r="B19" s="291" t="s">
        <v>1324</v>
      </c>
      <c r="C19" s="297">
        <v>0.0</v>
      </c>
      <c r="D19" s="298">
        <v>100.0</v>
      </c>
      <c r="E19" s="161" t="s">
        <v>1342</v>
      </c>
    </row>
    <row r="20" ht="20.25" customHeight="1">
      <c r="A20" s="294"/>
      <c r="B20" s="287" t="s">
        <v>1326</v>
      </c>
      <c r="C20" s="288">
        <v>1.4</v>
      </c>
      <c r="D20" s="289">
        <v>1.6</v>
      </c>
      <c r="E20" s="156" t="s">
        <v>1343</v>
      </c>
    </row>
    <row r="21" ht="20.25" customHeight="1">
      <c r="A21" s="294"/>
      <c r="B21" s="291" t="s">
        <v>1328</v>
      </c>
      <c r="C21" s="297">
        <v>732.0</v>
      </c>
      <c r="D21" s="298">
        <v>800.0</v>
      </c>
      <c r="E21" s="161" t="s">
        <v>1329</v>
      </c>
    </row>
    <row r="22" ht="20.25" customHeight="1">
      <c r="A22" s="304"/>
      <c r="B22" s="299" t="s">
        <v>1330</v>
      </c>
      <c r="C22" s="300" t="s">
        <v>1338</v>
      </c>
      <c r="D22" s="301" t="s">
        <v>1331</v>
      </c>
      <c r="E22" s="305" t="s">
        <v>1329</v>
      </c>
    </row>
    <row r="23" ht="20.25" customHeight="1">
      <c r="A23" s="303" t="s">
        <v>633</v>
      </c>
      <c r="B23" s="287" t="s">
        <v>1318</v>
      </c>
      <c r="C23" s="288">
        <v>0.35</v>
      </c>
      <c r="D23" s="289">
        <v>0.5</v>
      </c>
      <c r="E23" s="156" t="s">
        <v>1344</v>
      </c>
    </row>
    <row r="24" ht="20.25" customHeight="1">
      <c r="A24" s="290"/>
      <c r="B24" s="291" t="s">
        <v>1320</v>
      </c>
      <c r="C24" s="292">
        <v>0.5</v>
      </c>
      <c r="D24" s="293">
        <v>1.0</v>
      </c>
      <c r="E24" s="161" t="s">
        <v>1345</v>
      </c>
    </row>
    <row r="25" ht="20.25" customHeight="1">
      <c r="A25" s="294"/>
      <c r="B25" s="287" t="s">
        <v>1322</v>
      </c>
      <c r="C25" s="295">
        <v>1300.0</v>
      </c>
      <c r="D25" s="296">
        <v>1600.0</v>
      </c>
      <c r="E25" s="156" t="s">
        <v>1346</v>
      </c>
    </row>
    <row r="26" ht="20.25" customHeight="1">
      <c r="A26" s="294"/>
      <c r="B26" s="291" t="s">
        <v>1324</v>
      </c>
      <c r="C26" s="297">
        <v>0.0</v>
      </c>
      <c r="D26" s="298">
        <v>50.0</v>
      </c>
      <c r="E26" s="161" t="s">
        <v>1347</v>
      </c>
    </row>
    <row r="27" ht="20.25" customHeight="1">
      <c r="A27" s="294"/>
      <c r="B27" s="287" t="s">
        <v>1326</v>
      </c>
      <c r="C27" s="288">
        <v>1.0</v>
      </c>
      <c r="D27" s="289">
        <v>1.8</v>
      </c>
      <c r="E27" s="156" t="s">
        <v>1348</v>
      </c>
    </row>
    <row r="28" ht="20.25" customHeight="1">
      <c r="A28" s="294"/>
      <c r="B28" s="291" t="s">
        <v>1328</v>
      </c>
      <c r="C28" s="297">
        <v>655.0</v>
      </c>
      <c r="D28" s="298">
        <v>700.0</v>
      </c>
      <c r="E28" s="161" t="s">
        <v>1329</v>
      </c>
    </row>
    <row r="29" ht="20.25" customHeight="1">
      <c r="A29" s="304"/>
      <c r="B29" s="299" t="s">
        <v>1330</v>
      </c>
      <c r="C29" s="300" t="s">
        <v>1260</v>
      </c>
      <c r="D29" s="301" t="s">
        <v>548</v>
      </c>
      <c r="E29" s="305" t="s">
        <v>1349</v>
      </c>
    </row>
    <row r="30" ht="20.25" customHeight="1">
      <c r="A30" s="306" t="s">
        <v>704</v>
      </c>
      <c r="B30" s="307" t="s">
        <v>1318</v>
      </c>
      <c r="C30" s="308">
        <v>0.9</v>
      </c>
      <c r="D30" s="309">
        <v>0.95</v>
      </c>
      <c r="E30" s="310" t="s">
        <v>1350</v>
      </c>
    </row>
    <row r="31" ht="20.25" customHeight="1">
      <c r="A31" s="311"/>
      <c r="B31" s="312" t="s">
        <v>1320</v>
      </c>
      <c r="C31" s="313">
        <v>1.8</v>
      </c>
      <c r="D31" s="314">
        <v>2.3</v>
      </c>
      <c r="E31" s="315" t="s">
        <v>1351</v>
      </c>
    </row>
    <row r="32" ht="20.25" customHeight="1">
      <c r="A32" s="294"/>
      <c r="B32" s="307" t="s">
        <v>1322</v>
      </c>
      <c r="C32" s="316">
        <v>1900.0</v>
      </c>
      <c r="D32" s="317">
        <v>2500.0</v>
      </c>
      <c r="E32" s="310" t="s">
        <v>1352</v>
      </c>
    </row>
    <row r="33" ht="20.25" customHeight="1">
      <c r="A33" s="294"/>
      <c r="B33" s="312" t="s">
        <v>1324</v>
      </c>
      <c r="C33" s="318">
        <v>0.0</v>
      </c>
      <c r="D33" s="319">
        <v>250.0</v>
      </c>
      <c r="E33" s="161" t="s">
        <v>1353</v>
      </c>
    </row>
    <row r="34" ht="20.25" customHeight="1">
      <c r="A34" s="294"/>
      <c r="B34" s="307" t="s">
        <v>1326</v>
      </c>
      <c r="C34" s="308">
        <v>1.0</v>
      </c>
      <c r="D34" s="309">
        <v>1.0</v>
      </c>
      <c r="E34" s="310" t="s">
        <v>1354</v>
      </c>
    </row>
    <row r="35" ht="20.25" customHeight="1">
      <c r="A35" s="294"/>
      <c r="B35" s="312" t="s">
        <v>1328</v>
      </c>
      <c r="C35" s="318">
        <v>806.0</v>
      </c>
      <c r="D35" s="319">
        <v>850.0</v>
      </c>
      <c r="E35" s="161" t="s">
        <v>1329</v>
      </c>
    </row>
    <row r="36" ht="20.25" customHeight="1">
      <c r="A36" s="304"/>
      <c r="B36" s="320" t="s">
        <v>1330</v>
      </c>
      <c r="C36" s="321" t="s">
        <v>588</v>
      </c>
      <c r="D36" s="322" t="s">
        <v>1338</v>
      </c>
      <c r="E36" s="323" t="s">
        <v>1329</v>
      </c>
    </row>
    <row r="37" ht="20.25" customHeight="1">
      <c r="A37" s="306" t="s">
        <v>656</v>
      </c>
      <c r="B37" s="307" t="s">
        <v>1318</v>
      </c>
      <c r="C37" s="288">
        <v>0.35</v>
      </c>
      <c r="D37" s="289">
        <v>0.6</v>
      </c>
      <c r="E37" s="156" t="s">
        <v>1355</v>
      </c>
    </row>
    <row r="38" ht="20.25" customHeight="1">
      <c r="A38" s="311"/>
      <c r="B38" s="312" t="s">
        <v>1320</v>
      </c>
      <c r="C38" s="313">
        <v>0.5</v>
      </c>
      <c r="D38" s="314">
        <v>1.2</v>
      </c>
      <c r="E38" s="315" t="s">
        <v>1356</v>
      </c>
    </row>
    <row r="39" ht="20.25" customHeight="1">
      <c r="A39" s="294"/>
      <c r="B39" s="307" t="s">
        <v>1322</v>
      </c>
      <c r="C39" s="316">
        <v>1150.0</v>
      </c>
      <c r="D39" s="317">
        <v>1300.0</v>
      </c>
      <c r="E39" s="310" t="s">
        <v>1357</v>
      </c>
    </row>
    <row r="40" ht="20.25" customHeight="1">
      <c r="A40" s="294"/>
      <c r="B40" s="312" t="s">
        <v>1324</v>
      </c>
      <c r="C40" s="318">
        <v>500.0</v>
      </c>
      <c r="D40" s="319">
        <v>1100.0</v>
      </c>
      <c r="E40" s="161" t="s">
        <v>1358</v>
      </c>
    </row>
    <row r="41" ht="20.25" customHeight="1">
      <c r="A41" s="294"/>
      <c r="B41" s="307" t="s">
        <v>1326</v>
      </c>
      <c r="C41" s="308">
        <v>1.0</v>
      </c>
      <c r="D41" s="309">
        <v>1.6</v>
      </c>
      <c r="E41" s="310" t="s">
        <v>1359</v>
      </c>
    </row>
    <row r="42" ht="20.25" customHeight="1">
      <c r="A42" s="294"/>
      <c r="B42" s="312" t="s">
        <v>1328</v>
      </c>
      <c r="C42" s="318">
        <v>763.0</v>
      </c>
      <c r="D42" s="319">
        <v>800.0</v>
      </c>
      <c r="E42" s="161" t="s">
        <v>1329</v>
      </c>
    </row>
    <row r="43" ht="20.25" customHeight="1">
      <c r="A43" s="304"/>
      <c r="B43" s="320" t="s">
        <v>1330</v>
      </c>
      <c r="C43" s="321" t="s">
        <v>1267</v>
      </c>
      <c r="D43" s="322" t="s">
        <v>588</v>
      </c>
      <c r="E43" s="323" t="s">
        <v>1329</v>
      </c>
    </row>
    <row r="44" ht="20.25" customHeight="1">
      <c r="A44" s="306" t="s">
        <v>662</v>
      </c>
      <c r="B44" s="307" t="s">
        <v>1318</v>
      </c>
      <c r="C44" s="308">
        <v>0.8</v>
      </c>
      <c r="D44" s="309">
        <v>0.95</v>
      </c>
      <c r="E44" s="156" t="s">
        <v>1360</v>
      </c>
    </row>
    <row r="45" ht="20.25" customHeight="1">
      <c r="A45" s="311"/>
      <c r="B45" s="312" t="s">
        <v>1320</v>
      </c>
      <c r="C45" s="313">
        <v>1.6</v>
      </c>
      <c r="D45" s="314">
        <v>2.0</v>
      </c>
      <c r="E45" s="315" t="s">
        <v>1361</v>
      </c>
    </row>
    <row r="46" ht="20.25" customHeight="1">
      <c r="A46" s="294"/>
      <c r="B46" s="307" t="s">
        <v>1322</v>
      </c>
      <c r="C46" s="316">
        <v>1800.0</v>
      </c>
      <c r="D46" s="317">
        <v>2600.0</v>
      </c>
      <c r="E46" s="310" t="s">
        <v>1362</v>
      </c>
    </row>
    <row r="47" ht="20.25" customHeight="1">
      <c r="A47" s="294"/>
      <c r="B47" s="312" t="s">
        <v>1324</v>
      </c>
      <c r="C47" s="297">
        <v>0.0</v>
      </c>
      <c r="D47" s="298">
        <v>50.0</v>
      </c>
      <c r="E47" s="161" t="s">
        <v>1363</v>
      </c>
    </row>
    <row r="48" ht="20.25" customHeight="1">
      <c r="A48" s="294"/>
      <c r="B48" s="307" t="s">
        <v>1326</v>
      </c>
      <c r="C48" s="308">
        <v>1.0</v>
      </c>
      <c r="D48" s="309">
        <v>1.25</v>
      </c>
      <c r="E48" s="310" t="s">
        <v>1364</v>
      </c>
    </row>
    <row r="49" ht="20.25" customHeight="1">
      <c r="A49" s="294"/>
      <c r="B49" s="312" t="s">
        <v>1328</v>
      </c>
      <c r="C49" s="318">
        <v>708.0</v>
      </c>
      <c r="D49" s="319">
        <v>750.0</v>
      </c>
      <c r="E49" s="161" t="s">
        <v>1329</v>
      </c>
    </row>
    <row r="50" ht="20.25" customHeight="1">
      <c r="A50" s="304"/>
      <c r="B50" s="320" t="s">
        <v>1330</v>
      </c>
      <c r="C50" s="321" t="s">
        <v>588</v>
      </c>
      <c r="D50" s="322" t="s">
        <v>1338</v>
      </c>
      <c r="E50" s="323" t="s">
        <v>1329</v>
      </c>
    </row>
    <row r="51" ht="20.25" customHeight="1">
      <c r="A51" s="306" t="s">
        <v>642</v>
      </c>
      <c r="B51" s="307" t="s">
        <v>1318</v>
      </c>
      <c r="C51" s="308">
        <v>0.35</v>
      </c>
      <c r="D51" s="309">
        <v>0.4</v>
      </c>
      <c r="E51" s="310" t="s">
        <v>1365</v>
      </c>
    </row>
    <row r="52" ht="20.25" customHeight="1">
      <c r="A52" s="311"/>
      <c r="B52" s="312" t="s">
        <v>1320</v>
      </c>
      <c r="C52" s="313">
        <v>0.5</v>
      </c>
      <c r="D52" s="314">
        <v>0.6</v>
      </c>
      <c r="E52" s="315" t="s">
        <v>1366</v>
      </c>
    </row>
    <row r="53" ht="20.25" customHeight="1">
      <c r="A53" s="294"/>
      <c r="B53" s="307" t="s">
        <v>1322</v>
      </c>
      <c r="C53" s="316">
        <v>1200.0</v>
      </c>
      <c r="D53" s="317">
        <v>1700.0</v>
      </c>
      <c r="E53" s="310" t="s">
        <v>1367</v>
      </c>
    </row>
    <row r="54" ht="20.25" customHeight="1">
      <c r="A54" s="294"/>
      <c r="B54" s="312" t="s">
        <v>1324</v>
      </c>
      <c r="C54" s="318">
        <v>0.0</v>
      </c>
      <c r="D54" s="319">
        <v>0.0</v>
      </c>
      <c r="E54" s="161" t="s">
        <v>1368</v>
      </c>
    </row>
    <row r="55" ht="20.25" customHeight="1">
      <c r="A55" s="294"/>
      <c r="B55" s="307" t="s">
        <v>1326</v>
      </c>
      <c r="C55" s="308">
        <v>1.6</v>
      </c>
      <c r="D55" s="309">
        <v>2.3</v>
      </c>
      <c r="E55" s="310" t="s">
        <v>1369</v>
      </c>
    </row>
    <row r="56" ht="20.25" customHeight="1">
      <c r="A56" s="294"/>
      <c r="B56" s="312" t="s">
        <v>1328</v>
      </c>
      <c r="C56" s="318">
        <v>713.0</v>
      </c>
      <c r="D56" s="319">
        <v>750.0</v>
      </c>
      <c r="E56" s="161" t="s">
        <v>1329</v>
      </c>
    </row>
    <row r="57" ht="20.25" customHeight="1">
      <c r="A57" s="304"/>
      <c r="B57" s="320" t="s">
        <v>1330</v>
      </c>
      <c r="C57" s="321" t="s">
        <v>1370</v>
      </c>
      <c r="D57" s="322" t="s">
        <v>1371</v>
      </c>
      <c r="E57" s="323" t="s">
        <v>1372</v>
      </c>
    </row>
    <row r="58" ht="20.25" customHeight="1">
      <c r="A58" s="306" t="s">
        <v>597</v>
      </c>
      <c r="B58" s="307" t="s">
        <v>1318</v>
      </c>
      <c r="C58" s="308">
        <v>0.35</v>
      </c>
      <c r="D58" s="309">
        <v>0.6</v>
      </c>
      <c r="E58" s="310" t="s">
        <v>1373</v>
      </c>
    </row>
    <row r="59" ht="20.25" customHeight="1">
      <c r="A59" s="311"/>
      <c r="B59" s="312" t="s">
        <v>1320</v>
      </c>
      <c r="C59" s="313">
        <v>0.7</v>
      </c>
      <c r="D59" s="314">
        <v>1.2</v>
      </c>
      <c r="E59" s="315" t="s">
        <v>1334</v>
      </c>
    </row>
    <row r="60" ht="20.25" customHeight="1">
      <c r="A60" s="294"/>
      <c r="B60" s="307" t="s">
        <v>1322</v>
      </c>
      <c r="C60" s="316">
        <v>2800.0</v>
      </c>
      <c r="D60" s="317">
        <v>3500.0</v>
      </c>
      <c r="E60" s="310" t="s">
        <v>1374</v>
      </c>
    </row>
    <row r="61" ht="20.25" customHeight="1">
      <c r="A61" s="294"/>
      <c r="B61" s="312" t="s">
        <v>1324</v>
      </c>
      <c r="C61" s="297">
        <v>0.0</v>
      </c>
      <c r="D61" s="298">
        <v>50.0</v>
      </c>
      <c r="E61" s="161" t="s">
        <v>1347</v>
      </c>
    </row>
    <row r="62" ht="20.25" customHeight="1">
      <c r="A62" s="294"/>
      <c r="B62" s="307" t="s">
        <v>1326</v>
      </c>
      <c r="C62" s="308">
        <v>1.8</v>
      </c>
      <c r="D62" s="309">
        <v>2.1</v>
      </c>
      <c r="E62" s="310" t="s">
        <v>1375</v>
      </c>
    </row>
    <row r="63" ht="20.25" customHeight="1">
      <c r="A63" s="294"/>
      <c r="B63" s="312" t="s">
        <v>1328</v>
      </c>
      <c r="C63" s="318">
        <v>830.0</v>
      </c>
      <c r="D63" s="319">
        <v>850.0</v>
      </c>
      <c r="E63" s="161" t="s">
        <v>1329</v>
      </c>
    </row>
    <row r="64" ht="20.25" customHeight="1">
      <c r="A64" s="304"/>
      <c r="B64" s="320" t="s">
        <v>1330</v>
      </c>
      <c r="C64" s="321" t="s">
        <v>1338</v>
      </c>
      <c r="D64" s="322" t="s">
        <v>1331</v>
      </c>
      <c r="E64" s="323" t="s">
        <v>1329</v>
      </c>
    </row>
    <row r="65" ht="20.25" customHeight="1">
      <c r="A65" s="306" t="s">
        <v>683</v>
      </c>
      <c r="B65" s="307" t="s">
        <v>1318</v>
      </c>
      <c r="C65" s="308">
        <v>0.5</v>
      </c>
      <c r="D65" s="309">
        <v>0.95</v>
      </c>
      <c r="E65" s="310" t="s">
        <v>1376</v>
      </c>
    </row>
    <row r="66" ht="20.25" customHeight="1">
      <c r="A66" s="311"/>
      <c r="B66" s="312" t="s">
        <v>1320</v>
      </c>
      <c r="C66" s="313">
        <v>1.0</v>
      </c>
      <c r="D66" s="314">
        <v>1.9</v>
      </c>
      <c r="E66" s="315" t="s">
        <v>1361</v>
      </c>
    </row>
    <row r="67" ht="20.25" customHeight="1">
      <c r="A67" s="294"/>
      <c r="B67" s="307" t="s">
        <v>1322</v>
      </c>
      <c r="C67" s="316">
        <v>1450.0</v>
      </c>
      <c r="D67" s="317">
        <v>2000.0</v>
      </c>
      <c r="E67" s="310" t="s">
        <v>1377</v>
      </c>
    </row>
    <row r="68" ht="20.25" customHeight="1">
      <c r="A68" s="294"/>
      <c r="B68" s="312" t="s">
        <v>1324</v>
      </c>
      <c r="C68" s="297">
        <v>0.0</v>
      </c>
      <c r="D68" s="298">
        <v>100.0</v>
      </c>
      <c r="E68" s="161" t="s">
        <v>1378</v>
      </c>
    </row>
    <row r="69" ht="20.25" customHeight="1">
      <c r="A69" s="294"/>
      <c r="B69" s="307" t="s">
        <v>1326</v>
      </c>
      <c r="C69" s="308">
        <v>1.2</v>
      </c>
      <c r="D69" s="309">
        <v>1.6</v>
      </c>
      <c r="E69" s="310" t="s">
        <v>1379</v>
      </c>
    </row>
    <row r="70" ht="20.25" customHeight="1">
      <c r="A70" s="294"/>
      <c r="B70" s="312" t="s">
        <v>1328</v>
      </c>
      <c r="C70" s="318">
        <v>676.0</v>
      </c>
      <c r="D70" s="319">
        <v>700.0</v>
      </c>
      <c r="E70" s="161" t="s">
        <v>1329</v>
      </c>
    </row>
    <row r="71" ht="20.25" customHeight="1">
      <c r="A71" s="304"/>
      <c r="B71" s="320" t="s">
        <v>1330</v>
      </c>
      <c r="C71" s="321" t="s">
        <v>1158</v>
      </c>
      <c r="D71" s="322" t="s">
        <v>1267</v>
      </c>
      <c r="E71" s="323" t="s">
        <v>1329</v>
      </c>
    </row>
    <row r="72" ht="20.25" customHeight="1">
      <c r="A72" s="306" t="s">
        <v>605</v>
      </c>
      <c r="B72" s="307" t="s">
        <v>1318</v>
      </c>
      <c r="C72" s="308">
        <v>0.8</v>
      </c>
      <c r="D72" s="309">
        <v>0.95</v>
      </c>
      <c r="E72" s="310" t="s">
        <v>1380</v>
      </c>
    </row>
    <row r="73" ht="20.25" customHeight="1">
      <c r="A73" s="311"/>
      <c r="B73" s="312" t="s">
        <v>1320</v>
      </c>
      <c r="C73" s="313">
        <v>1.8</v>
      </c>
      <c r="D73" s="314">
        <v>2.6</v>
      </c>
      <c r="E73" s="315" t="s">
        <v>1381</v>
      </c>
    </row>
    <row r="74" ht="20.25" customHeight="1">
      <c r="A74" s="294"/>
      <c r="B74" s="307" t="s">
        <v>1322</v>
      </c>
      <c r="C74" s="316">
        <v>2000.0</v>
      </c>
      <c r="D74" s="317">
        <v>2500.0</v>
      </c>
      <c r="E74" s="310" t="s">
        <v>1382</v>
      </c>
    </row>
    <row r="75" ht="20.25" customHeight="1">
      <c r="A75" s="294"/>
      <c r="B75" s="312" t="s">
        <v>1324</v>
      </c>
      <c r="C75" s="297">
        <v>0.0</v>
      </c>
      <c r="D75" s="298">
        <v>100.0</v>
      </c>
      <c r="E75" s="161" t="s">
        <v>1378</v>
      </c>
    </row>
    <row r="76" ht="20.25" customHeight="1">
      <c r="A76" s="294"/>
      <c r="B76" s="307" t="s">
        <v>1326</v>
      </c>
      <c r="C76" s="308">
        <v>1.25</v>
      </c>
      <c r="D76" s="309">
        <v>1.5</v>
      </c>
      <c r="E76" s="310" t="s">
        <v>1383</v>
      </c>
    </row>
    <row r="77" ht="20.25" customHeight="1">
      <c r="A77" s="294"/>
      <c r="B77" s="312" t="s">
        <v>1328</v>
      </c>
      <c r="C77" s="318">
        <v>784.0</v>
      </c>
      <c r="D77" s="319">
        <v>800.0</v>
      </c>
      <c r="E77" s="161" t="s">
        <v>1329</v>
      </c>
    </row>
    <row r="78" ht="20.25" customHeight="1">
      <c r="A78" s="304"/>
      <c r="B78" s="320" t="s">
        <v>1330</v>
      </c>
      <c r="C78" s="321" t="s">
        <v>1338</v>
      </c>
      <c r="D78" s="322" t="s">
        <v>1331</v>
      </c>
      <c r="E78" s="323" t="s">
        <v>1329</v>
      </c>
    </row>
    <row r="79" ht="20.25" customHeight="1">
      <c r="A79" s="306" t="s">
        <v>690</v>
      </c>
      <c r="B79" s="307" t="s">
        <v>1318</v>
      </c>
      <c r="C79" s="308">
        <v>0.8</v>
      </c>
      <c r="D79" s="309">
        <v>0.95</v>
      </c>
      <c r="E79" s="156" t="s">
        <v>1384</v>
      </c>
    </row>
    <row r="80" ht="20.25" customHeight="1">
      <c r="A80" s="311"/>
      <c r="B80" s="312" t="s">
        <v>1320</v>
      </c>
      <c r="C80" s="313">
        <v>1.6</v>
      </c>
      <c r="D80" s="314">
        <v>2.0</v>
      </c>
      <c r="E80" s="315" t="s">
        <v>1385</v>
      </c>
    </row>
    <row r="81" ht="20.25" customHeight="1">
      <c r="A81" s="294"/>
      <c r="B81" s="307" t="s">
        <v>1322</v>
      </c>
      <c r="C81" s="316">
        <v>1800.0</v>
      </c>
      <c r="D81" s="317">
        <v>2300.0</v>
      </c>
      <c r="E81" s="310" t="s">
        <v>1386</v>
      </c>
    </row>
    <row r="82" ht="20.25" customHeight="1">
      <c r="A82" s="294"/>
      <c r="B82" s="312" t="s">
        <v>1324</v>
      </c>
      <c r="C82" s="297">
        <v>0.0</v>
      </c>
      <c r="D82" s="298">
        <v>50.0</v>
      </c>
      <c r="E82" s="161" t="s">
        <v>1363</v>
      </c>
    </row>
    <row r="83" ht="20.25" customHeight="1">
      <c r="A83" s="294"/>
      <c r="B83" s="307" t="s">
        <v>1326</v>
      </c>
      <c r="C83" s="308">
        <v>1.1</v>
      </c>
      <c r="D83" s="309">
        <v>1.3</v>
      </c>
      <c r="E83" s="310" t="s">
        <v>1387</v>
      </c>
    </row>
    <row r="84" ht="20.25" customHeight="1">
      <c r="A84" s="294"/>
      <c r="B84" s="312" t="s">
        <v>1328</v>
      </c>
      <c r="C84" s="318">
        <v>751.0</v>
      </c>
      <c r="D84" s="319">
        <v>800.0</v>
      </c>
      <c r="E84" s="161" t="s">
        <v>1329</v>
      </c>
    </row>
    <row r="85" ht="20.25" customHeight="1">
      <c r="A85" s="304"/>
      <c r="B85" s="320" t="s">
        <v>1330</v>
      </c>
      <c r="C85" s="321" t="s">
        <v>1338</v>
      </c>
      <c r="D85" s="322" t="s">
        <v>1331</v>
      </c>
      <c r="E85" s="323" t="s">
        <v>1329</v>
      </c>
    </row>
    <row r="86" ht="20.25" customHeight="1">
      <c r="A86" s="306" t="s">
        <v>650</v>
      </c>
      <c r="B86" s="307" t="s">
        <v>1318</v>
      </c>
      <c r="C86" s="308">
        <v>0.6</v>
      </c>
      <c r="D86" s="309">
        <v>0.88</v>
      </c>
      <c r="E86" s="310" t="s">
        <v>1388</v>
      </c>
    </row>
    <row r="87" ht="20.25" customHeight="1">
      <c r="A87" s="311"/>
      <c r="B87" s="312" t="s">
        <v>1320</v>
      </c>
      <c r="C87" s="313">
        <v>1.0</v>
      </c>
      <c r="D87" s="314">
        <v>1.5</v>
      </c>
      <c r="E87" s="315" t="s">
        <v>1389</v>
      </c>
    </row>
    <row r="88" ht="20.25" customHeight="1">
      <c r="A88" s="294"/>
      <c r="B88" s="307" t="s">
        <v>1322</v>
      </c>
      <c r="C88" s="316">
        <v>1800.0</v>
      </c>
      <c r="D88" s="317">
        <v>2400.0</v>
      </c>
      <c r="E88" s="310" t="s">
        <v>1390</v>
      </c>
    </row>
    <row r="89" ht="20.25" customHeight="1">
      <c r="A89" s="294"/>
      <c r="B89" s="312" t="s">
        <v>1324</v>
      </c>
      <c r="C89" s="297">
        <v>0.0</v>
      </c>
      <c r="D89" s="298">
        <v>100.0</v>
      </c>
      <c r="E89" s="161" t="s">
        <v>1336</v>
      </c>
    </row>
    <row r="90" ht="20.25" customHeight="1">
      <c r="A90" s="294"/>
      <c r="B90" s="307" t="s">
        <v>1326</v>
      </c>
      <c r="C90" s="308">
        <v>1.5</v>
      </c>
      <c r="D90" s="309">
        <v>2.0</v>
      </c>
      <c r="E90" s="310" t="s">
        <v>1391</v>
      </c>
    </row>
    <row r="91" ht="20.25" customHeight="1">
      <c r="A91" s="294"/>
      <c r="B91" s="312" t="s">
        <v>1328</v>
      </c>
      <c r="C91" s="318">
        <v>710.0</v>
      </c>
      <c r="D91" s="319">
        <v>750.0</v>
      </c>
      <c r="E91" s="161" t="s">
        <v>1329</v>
      </c>
    </row>
    <row r="92" ht="20.25" customHeight="1">
      <c r="A92" s="304"/>
      <c r="B92" s="320" t="s">
        <v>1330</v>
      </c>
      <c r="C92" s="321" t="s">
        <v>588</v>
      </c>
      <c r="D92" s="322" t="s">
        <v>1338</v>
      </c>
      <c r="E92" s="323" t="s">
        <v>1329</v>
      </c>
    </row>
    <row r="93" ht="20.25" customHeight="1">
      <c r="A93" s="306" t="s">
        <v>610</v>
      </c>
      <c r="B93" s="307" t="s">
        <v>1318</v>
      </c>
      <c r="C93" s="288">
        <v>0.8</v>
      </c>
      <c r="D93" s="289">
        <v>0.96</v>
      </c>
      <c r="E93" s="156" t="s">
        <v>1392</v>
      </c>
    </row>
    <row r="94" ht="20.25" customHeight="1">
      <c r="A94" s="311"/>
      <c r="B94" s="312" t="s">
        <v>1320</v>
      </c>
      <c r="C94" s="292">
        <v>1.8</v>
      </c>
      <c r="D94" s="293">
        <v>2.5</v>
      </c>
      <c r="E94" s="161" t="s">
        <v>1321</v>
      </c>
    </row>
    <row r="95" ht="20.25" customHeight="1">
      <c r="A95" s="294"/>
      <c r="B95" s="307" t="s">
        <v>1322</v>
      </c>
      <c r="C95" s="295">
        <v>1800.0</v>
      </c>
      <c r="D95" s="296">
        <v>2400.0</v>
      </c>
      <c r="E95" s="156" t="s">
        <v>1393</v>
      </c>
    </row>
    <row r="96" ht="20.25" customHeight="1">
      <c r="A96" s="294"/>
      <c r="B96" s="312" t="s">
        <v>1324</v>
      </c>
      <c r="C96" s="297">
        <v>0.0</v>
      </c>
      <c r="D96" s="298">
        <v>250.0</v>
      </c>
      <c r="E96" s="161" t="s">
        <v>1325</v>
      </c>
    </row>
    <row r="97" ht="20.25" customHeight="1">
      <c r="A97" s="294"/>
      <c r="B97" s="307" t="s">
        <v>1326</v>
      </c>
      <c r="C97" s="288">
        <v>1.0</v>
      </c>
      <c r="D97" s="289">
        <v>1.3</v>
      </c>
      <c r="E97" s="156" t="s">
        <v>1394</v>
      </c>
    </row>
    <row r="98" ht="20.25" customHeight="1">
      <c r="A98" s="294"/>
      <c r="B98" s="312" t="s">
        <v>1328</v>
      </c>
      <c r="C98" s="297">
        <v>630.0</v>
      </c>
      <c r="D98" s="298">
        <v>650.0</v>
      </c>
      <c r="E98" s="161" t="s">
        <v>1329</v>
      </c>
    </row>
    <row r="99" ht="20.25" customHeight="1">
      <c r="A99" s="304"/>
      <c r="B99" s="320" t="s">
        <v>1330</v>
      </c>
      <c r="C99" s="300" t="s">
        <v>1158</v>
      </c>
      <c r="D99" s="301" t="s">
        <v>1267</v>
      </c>
      <c r="E99" s="302" t="s">
        <v>1329</v>
      </c>
    </row>
    <row r="100" ht="20.25" customHeight="1">
      <c r="A100" s="306" t="s">
        <v>618</v>
      </c>
      <c r="B100" s="307" t="s">
        <v>1318</v>
      </c>
      <c r="C100" s="308">
        <v>0.35</v>
      </c>
      <c r="D100" s="309">
        <v>0.4</v>
      </c>
      <c r="E100" s="310" t="s">
        <v>1365</v>
      </c>
    </row>
    <row r="101" ht="20.25" customHeight="1">
      <c r="A101" s="311"/>
      <c r="B101" s="312" t="s">
        <v>1320</v>
      </c>
      <c r="C101" s="313">
        <v>0.5</v>
      </c>
      <c r="D101" s="314">
        <v>0.6</v>
      </c>
      <c r="E101" s="315" t="s">
        <v>1366</v>
      </c>
    </row>
    <row r="102" ht="20.25" customHeight="1">
      <c r="A102" s="294"/>
      <c r="B102" s="307" t="s">
        <v>1322</v>
      </c>
      <c r="C102" s="316">
        <v>1200.0</v>
      </c>
      <c r="D102" s="317">
        <v>1300.0</v>
      </c>
      <c r="E102" s="310" t="s">
        <v>1395</v>
      </c>
    </row>
    <row r="103" ht="20.25" customHeight="1">
      <c r="A103" s="294"/>
      <c r="B103" s="312" t="s">
        <v>1324</v>
      </c>
      <c r="C103" s="297">
        <v>0.0</v>
      </c>
      <c r="D103" s="298">
        <v>50.0</v>
      </c>
      <c r="E103" s="161" t="s">
        <v>1347</v>
      </c>
    </row>
    <row r="104" ht="20.25" customHeight="1">
      <c r="A104" s="294"/>
      <c r="B104" s="307" t="s">
        <v>1326</v>
      </c>
      <c r="C104" s="308">
        <v>1.8</v>
      </c>
      <c r="D104" s="309">
        <v>2.2</v>
      </c>
      <c r="E104" s="310" t="s">
        <v>1396</v>
      </c>
    </row>
    <row r="105" ht="20.25" customHeight="1">
      <c r="A105" s="294"/>
      <c r="B105" s="312" t="s">
        <v>1328</v>
      </c>
      <c r="C105" s="318">
        <v>601.0</v>
      </c>
      <c r="D105" s="319">
        <v>650.0</v>
      </c>
      <c r="E105" s="161" t="s">
        <v>1329</v>
      </c>
    </row>
    <row r="106" ht="20.25" customHeight="1">
      <c r="A106" s="304"/>
      <c r="B106" s="320" t="s">
        <v>1330</v>
      </c>
      <c r="C106" s="321" t="s">
        <v>901</v>
      </c>
      <c r="D106" s="322" t="s">
        <v>455</v>
      </c>
      <c r="E106" s="323" t="s">
        <v>1397</v>
      </c>
    </row>
    <row r="107" ht="20.25" customHeight="1">
      <c r="A107" s="306" t="s">
        <v>626</v>
      </c>
      <c r="B107" s="307" t="s">
        <v>1318</v>
      </c>
      <c r="C107" s="308">
        <v>0.5</v>
      </c>
      <c r="D107" s="309">
        <v>0.9</v>
      </c>
      <c r="E107" s="310" t="s">
        <v>1398</v>
      </c>
    </row>
    <row r="108" ht="20.25" customHeight="1">
      <c r="A108" s="311"/>
      <c r="B108" s="312" t="s">
        <v>1320</v>
      </c>
      <c r="C108" s="313">
        <v>1.0</v>
      </c>
      <c r="D108" s="314">
        <v>1.8</v>
      </c>
      <c r="E108" s="315" t="s">
        <v>1334</v>
      </c>
    </row>
    <row r="109" ht="20.25" customHeight="1">
      <c r="A109" s="294"/>
      <c r="B109" s="307" t="s">
        <v>1322</v>
      </c>
      <c r="C109" s="316">
        <v>1600.0</v>
      </c>
      <c r="D109" s="317">
        <v>2000.0</v>
      </c>
      <c r="E109" s="310" t="s">
        <v>1399</v>
      </c>
    </row>
    <row r="110" ht="20.25" customHeight="1">
      <c r="A110" s="294"/>
      <c r="B110" s="312" t="s">
        <v>1324</v>
      </c>
      <c r="C110" s="297">
        <v>0.0</v>
      </c>
      <c r="D110" s="298">
        <v>100.0</v>
      </c>
      <c r="E110" s="161" t="s">
        <v>1336</v>
      </c>
    </row>
    <row r="111" ht="20.25" customHeight="1">
      <c r="A111" s="294"/>
      <c r="B111" s="307" t="s">
        <v>1326</v>
      </c>
      <c r="C111" s="308">
        <v>1.5</v>
      </c>
      <c r="D111" s="309">
        <v>2.0</v>
      </c>
      <c r="E111" s="310" t="s">
        <v>1400</v>
      </c>
    </row>
    <row r="112" ht="20.25" customHeight="1">
      <c r="A112" s="294"/>
      <c r="B112" s="312" t="s">
        <v>1328</v>
      </c>
      <c r="C112" s="318">
        <v>792.0</v>
      </c>
      <c r="D112" s="319">
        <v>850.0</v>
      </c>
      <c r="E112" s="161" t="s">
        <v>1329</v>
      </c>
    </row>
    <row r="113" ht="20.25" customHeight="1">
      <c r="A113" s="304"/>
      <c r="B113" s="320" t="s">
        <v>1330</v>
      </c>
      <c r="C113" s="321" t="s">
        <v>588</v>
      </c>
      <c r="D113" s="322" t="s">
        <v>1338</v>
      </c>
      <c r="E113" s="323" t="s">
        <v>1329</v>
      </c>
    </row>
    <row r="114" ht="20.25" customHeight="1">
      <c r="A114" s="306" t="s">
        <v>669</v>
      </c>
      <c r="B114" s="307" t="s">
        <v>1318</v>
      </c>
      <c r="C114" s="308">
        <v>0.35</v>
      </c>
      <c r="D114" s="309">
        <v>0.75</v>
      </c>
      <c r="E114" s="310" t="s">
        <v>1401</v>
      </c>
    </row>
    <row r="115" ht="20.25" customHeight="1">
      <c r="A115" s="311"/>
      <c r="B115" s="312" t="s">
        <v>1320</v>
      </c>
      <c r="C115" s="313">
        <v>0.5</v>
      </c>
      <c r="D115" s="314">
        <v>1.5</v>
      </c>
      <c r="E115" s="315" t="s">
        <v>1334</v>
      </c>
    </row>
    <row r="116" ht="20.25" customHeight="1">
      <c r="A116" s="294"/>
      <c r="B116" s="307" t="s">
        <v>1322</v>
      </c>
      <c r="C116" s="316">
        <v>1700.0</v>
      </c>
      <c r="D116" s="317">
        <v>2100.0</v>
      </c>
      <c r="E116" s="310" t="s">
        <v>1402</v>
      </c>
    </row>
    <row r="117" ht="20.25" customHeight="1">
      <c r="A117" s="294"/>
      <c r="B117" s="312" t="s">
        <v>1324</v>
      </c>
      <c r="C117" s="297">
        <v>0.0</v>
      </c>
      <c r="D117" s="298">
        <v>250.0</v>
      </c>
      <c r="E117" s="161" t="s">
        <v>1403</v>
      </c>
    </row>
    <row r="118" ht="20.25" customHeight="1">
      <c r="A118" s="294"/>
      <c r="B118" s="307" t="s">
        <v>1326</v>
      </c>
      <c r="C118" s="308">
        <v>1.0</v>
      </c>
      <c r="D118" s="309">
        <v>2.5</v>
      </c>
      <c r="E118" s="310" t="s">
        <v>1404</v>
      </c>
    </row>
    <row r="119" ht="20.25" customHeight="1">
      <c r="A119" s="294"/>
      <c r="B119" s="312" t="s">
        <v>1328</v>
      </c>
      <c r="C119" s="318">
        <v>922.0</v>
      </c>
      <c r="D119" s="319">
        <v>950.0</v>
      </c>
      <c r="E119" s="161" t="s">
        <v>1329</v>
      </c>
    </row>
    <row r="120" ht="20.25" customHeight="1">
      <c r="A120" s="304"/>
      <c r="B120" s="320" t="s">
        <v>1330</v>
      </c>
      <c r="C120" s="321" t="s">
        <v>588</v>
      </c>
      <c r="D120" s="322" t="s">
        <v>1338</v>
      </c>
      <c r="E120" s="323" t="s">
        <v>1329</v>
      </c>
    </row>
    <row r="121" ht="20.25" customHeight="1">
      <c r="A121" s="306" t="s">
        <v>1405</v>
      </c>
      <c r="B121" s="307" t="s">
        <v>1318</v>
      </c>
      <c r="C121" s="308">
        <v>0.35</v>
      </c>
      <c r="D121" s="309">
        <v>0.7</v>
      </c>
      <c r="E121" s="310" t="s">
        <v>1406</v>
      </c>
    </row>
    <row r="122" ht="20.25" customHeight="1">
      <c r="A122" s="311"/>
      <c r="B122" s="312" t="s">
        <v>1320</v>
      </c>
      <c r="C122" s="313">
        <v>0.7</v>
      </c>
      <c r="D122" s="314">
        <v>1.5</v>
      </c>
      <c r="E122" s="315" t="s">
        <v>1407</v>
      </c>
    </row>
    <row r="123" ht="20.25" customHeight="1">
      <c r="A123" s="294"/>
      <c r="B123" s="307" t="s">
        <v>1322</v>
      </c>
      <c r="C123" s="316">
        <v>1700.0</v>
      </c>
      <c r="D123" s="317">
        <v>2600.0</v>
      </c>
      <c r="E123" s="310" t="s">
        <v>1408</v>
      </c>
    </row>
    <row r="124" ht="20.25" customHeight="1">
      <c r="A124" s="294"/>
      <c r="B124" s="312" t="s">
        <v>1324</v>
      </c>
      <c r="C124" s="297">
        <v>0.0</v>
      </c>
      <c r="D124" s="298">
        <v>100.0</v>
      </c>
      <c r="E124" s="161" t="s">
        <v>1336</v>
      </c>
    </row>
    <row r="125" ht="20.25" customHeight="1">
      <c r="A125" s="294"/>
      <c r="B125" s="307" t="s">
        <v>1326</v>
      </c>
      <c r="C125" s="308">
        <v>1.1</v>
      </c>
      <c r="D125" s="309">
        <v>1.6</v>
      </c>
      <c r="E125" s="310" t="s">
        <v>1409</v>
      </c>
    </row>
    <row r="126" ht="20.25" customHeight="1">
      <c r="A126" s="294"/>
      <c r="B126" s="312" t="s">
        <v>1328</v>
      </c>
      <c r="C126" s="318">
        <v>648.0</v>
      </c>
      <c r="D126" s="319">
        <v>700.0</v>
      </c>
      <c r="E126" s="161" t="s">
        <v>1329</v>
      </c>
    </row>
    <row r="127" ht="20.25" customHeight="1">
      <c r="A127" s="304"/>
      <c r="B127" s="320" t="s">
        <v>1330</v>
      </c>
      <c r="C127" s="321" t="s">
        <v>1267</v>
      </c>
      <c r="D127" s="322" t="s">
        <v>588</v>
      </c>
      <c r="E127" s="323" t="s">
        <v>1329</v>
      </c>
    </row>
    <row r="128" ht="20.25" customHeight="1">
      <c r="A128" s="324" t="s">
        <v>872</v>
      </c>
      <c r="B128" s="287" t="s">
        <v>1318</v>
      </c>
      <c r="C128" s="288">
        <v>-0.95</v>
      </c>
      <c r="D128" s="289">
        <v>-0.9</v>
      </c>
      <c r="E128" s="156" t="s">
        <v>1410</v>
      </c>
    </row>
    <row r="129" ht="20.25" customHeight="1">
      <c r="A129" s="325"/>
      <c r="B129" s="326" t="s">
        <v>1320</v>
      </c>
      <c r="C129" s="327">
        <v>0.5</v>
      </c>
      <c r="D129" s="328">
        <v>0.5</v>
      </c>
      <c r="E129" s="329" t="s">
        <v>1411</v>
      </c>
    </row>
    <row r="130" ht="20.25" customHeight="1">
      <c r="A130" s="294"/>
      <c r="B130" s="287" t="s">
        <v>1322</v>
      </c>
      <c r="C130" s="295">
        <v>1100.0</v>
      </c>
      <c r="D130" s="296">
        <v>1350.0</v>
      </c>
      <c r="E130" s="156" t="s">
        <v>1346</v>
      </c>
    </row>
    <row r="131" ht="20.25" customHeight="1">
      <c r="A131" s="294"/>
      <c r="B131" s="326" t="s">
        <v>1324</v>
      </c>
      <c r="C131" s="330">
        <v>0.0</v>
      </c>
      <c r="D131" s="331">
        <v>600.0</v>
      </c>
      <c r="E131" s="329" t="s">
        <v>1412</v>
      </c>
    </row>
    <row r="132" ht="20.25" customHeight="1">
      <c r="A132" s="294"/>
      <c r="B132" s="287" t="s">
        <v>1326</v>
      </c>
      <c r="C132" s="288">
        <v>1.2</v>
      </c>
      <c r="D132" s="289">
        <v>2.0</v>
      </c>
      <c r="E132" s="156" t="s">
        <v>1413</v>
      </c>
    </row>
    <row r="133" ht="20.25" customHeight="1">
      <c r="A133" s="294"/>
      <c r="B133" s="326" t="s">
        <v>1328</v>
      </c>
      <c r="C133" s="330">
        <v>657.0</v>
      </c>
      <c r="D133" s="331">
        <v>700.0</v>
      </c>
      <c r="E133" s="329" t="s">
        <v>1329</v>
      </c>
    </row>
    <row r="134" ht="20.25" customHeight="1">
      <c r="A134" s="304"/>
      <c r="B134" s="299" t="s">
        <v>1330</v>
      </c>
      <c r="C134" s="300" t="s">
        <v>1414</v>
      </c>
      <c r="D134" s="301" t="s">
        <v>548</v>
      </c>
      <c r="E134" s="305" t="s">
        <v>1415</v>
      </c>
    </row>
    <row r="135" ht="20.25" customHeight="1">
      <c r="A135" s="324" t="s">
        <v>849</v>
      </c>
      <c r="B135" s="307" t="s">
        <v>1318</v>
      </c>
      <c r="C135" s="308">
        <v>0.4</v>
      </c>
      <c r="D135" s="309">
        <v>0.5</v>
      </c>
      <c r="E135" s="310" t="s">
        <v>1416</v>
      </c>
    </row>
    <row r="136" ht="20.25" customHeight="1">
      <c r="A136" s="332"/>
      <c r="B136" s="333" t="s">
        <v>1320</v>
      </c>
      <c r="C136" s="334">
        <v>0.5</v>
      </c>
      <c r="D136" s="335">
        <v>1.0</v>
      </c>
      <c r="E136" s="336" t="s">
        <v>1417</v>
      </c>
    </row>
    <row r="137" ht="20.25" customHeight="1">
      <c r="A137" s="294"/>
      <c r="B137" s="307" t="s">
        <v>1322</v>
      </c>
      <c r="C137" s="337">
        <v>1100.0</v>
      </c>
      <c r="D137" s="317">
        <v>1300.0</v>
      </c>
      <c r="E137" s="338" t="s">
        <v>1346</v>
      </c>
    </row>
    <row r="138" ht="20.25" customHeight="1">
      <c r="A138" s="294"/>
      <c r="B138" s="333" t="s">
        <v>1324</v>
      </c>
      <c r="C138" s="339">
        <v>0.0</v>
      </c>
      <c r="D138" s="340">
        <v>100.0</v>
      </c>
      <c r="E138" s="336" t="s">
        <v>1418</v>
      </c>
    </row>
    <row r="139" ht="20.25" customHeight="1">
      <c r="A139" s="294"/>
      <c r="B139" s="307" t="s">
        <v>1326</v>
      </c>
      <c r="C139" s="308">
        <v>1.4</v>
      </c>
      <c r="D139" s="341">
        <v>2.0</v>
      </c>
      <c r="E139" s="310" t="s">
        <v>1419</v>
      </c>
    </row>
    <row r="140" ht="20.25" customHeight="1">
      <c r="A140" s="294"/>
      <c r="B140" s="333" t="s">
        <v>1328</v>
      </c>
      <c r="C140" s="342">
        <v>560.0</v>
      </c>
      <c r="D140" s="340">
        <v>600.0</v>
      </c>
      <c r="E140" s="343" t="s">
        <v>1329</v>
      </c>
    </row>
    <row r="141" ht="20.25" customHeight="1">
      <c r="A141" s="304"/>
      <c r="B141" s="320" t="s">
        <v>1330</v>
      </c>
      <c r="C141" s="321" t="s">
        <v>1420</v>
      </c>
      <c r="D141" s="322" t="s">
        <v>459</v>
      </c>
      <c r="E141" s="344" t="s">
        <v>1415</v>
      </c>
    </row>
    <row r="142" ht="20.25" customHeight="1">
      <c r="A142" s="324" t="s">
        <v>866</v>
      </c>
      <c r="B142" s="307" t="s">
        <v>1318</v>
      </c>
      <c r="C142" s="345">
        <v>0.4</v>
      </c>
      <c r="D142" s="309">
        <v>0.7</v>
      </c>
      <c r="E142" s="310" t="s">
        <v>1421</v>
      </c>
    </row>
    <row r="143" ht="20.25" customHeight="1">
      <c r="A143" s="332"/>
      <c r="B143" s="333" t="s">
        <v>1320</v>
      </c>
      <c r="C143" s="346">
        <v>0.8</v>
      </c>
      <c r="D143" s="335">
        <v>1.5</v>
      </c>
      <c r="E143" s="336" t="s">
        <v>1417</v>
      </c>
    </row>
    <row r="144" ht="20.25" customHeight="1">
      <c r="A144" s="294"/>
      <c r="B144" s="307" t="s">
        <v>1322</v>
      </c>
      <c r="C144" s="337">
        <v>1100.0</v>
      </c>
      <c r="D144" s="347">
        <v>1300.0</v>
      </c>
      <c r="E144" s="310" t="s">
        <v>1329</v>
      </c>
    </row>
    <row r="145" ht="20.25" customHeight="1">
      <c r="A145" s="294"/>
      <c r="B145" s="333" t="s">
        <v>1324</v>
      </c>
      <c r="C145" s="339">
        <v>0.0</v>
      </c>
      <c r="D145" s="348">
        <v>100.0</v>
      </c>
      <c r="E145" s="343" t="s">
        <v>1418</v>
      </c>
    </row>
    <row r="146" ht="20.25" customHeight="1">
      <c r="A146" s="294"/>
      <c r="B146" s="307" t="s">
        <v>1326</v>
      </c>
      <c r="C146" s="345">
        <v>1.4</v>
      </c>
      <c r="D146" s="341">
        <v>2.0</v>
      </c>
      <c r="E146" s="338" t="s">
        <v>1419</v>
      </c>
    </row>
    <row r="147" ht="20.25" customHeight="1">
      <c r="A147" s="294"/>
      <c r="B147" s="333" t="s">
        <v>1328</v>
      </c>
      <c r="C147" s="342">
        <v>683.0</v>
      </c>
      <c r="D147" s="340">
        <v>700.0</v>
      </c>
      <c r="E147" s="343" t="s">
        <v>1329</v>
      </c>
    </row>
    <row r="148" ht="20.25" customHeight="1">
      <c r="A148" s="304"/>
      <c r="B148" s="320" t="s">
        <v>1330</v>
      </c>
      <c r="C148" s="321" t="s">
        <v>414</v>
      </c>
      <c r="D148" s="349" t="s">
        <v>459</v>
      </c>
      <c r="E148" s="344" t="s">
        <v>1415</v>
      </c>
    </row>
    <row r="149" ht="20.25" customHeight="1">
      <c r="A149" s="324" t="s">
        <v>884</v>
      </c>
      <c r="B149" s="307" t="s">
        <v>1318</v>
      </c>
      <c r="C149" s="308">
        <v>0.9</v>
      </c>
      <c r="D149" s="317" t="s">
        <v>1422</v>
      </c>
      <c r="E149" s="310" t="s">
        <v>1423</v>
      </c>
    </row>
    <row r="150" ht="20.25" customHeight="1">
      <c r="A150" s="332"/>
      <c r="B150" s="333" t="s">
        <v>1320</v>
      </c>
      <c r="C150" s="346">
        <v>1.9</v>
      </c>
      <c r="D150" s="335">
        <v>2.4</v>
      </c>
      <c r="E150" s="336" t="s">
        <v>1321</v>
      </c>
    </row>
    <row r="151" ht="20.25" customHeight="1">
      <c r="A151" s="294"/>
      <c r="B151" s="307" t="s">
        <v>1322</v>
      </c>
      <c r="C151" s="316">
        <v>1000.0</v>
      </c>
      <c r="D151" s="317">
        <v>1200.0</v>
      </c>
      <c r="E151" s="310" t="s">
        <v>1329</v>
      </c>
    </row>
    <row r="152" ht="20.25" customHeight="1">
      <c r="A152" s="294"/>
      <c r="B152" s="333" t="s">
        <v>1324</v>
      </c>
      <c r="C152" s="342">
        <v>200.0</v>
      </c>
      <c r="D152" s="340">
        <v>300.0</v>
      </c>
      <c r="E152" s="336" t="s">
        <v>1424</v>
      </c>
    </row>
    <row r="153" ht="20.25" customHeight="1">
      <c r="A153" s="294"/>
      <c r="B153" s="307" t="s">
        <v>1326</v>
      </c>
      <c r="C153" s="308">
        <v>1.1</v>
      </c>
      <c r="D153" s="309">
        <v>1.25</v>
      </c>
      <c r="E153" s="310" t="s">
        <v>1425</v>
      </c>
    </row>
    <row r="154" ht="20.25" customHeight="1">
      <c r="A154" s="294"/>
      <c r="B154" s="333" t="s">
        <v>1328</v>
      </c>
      <c r="C154" s="342">
        <v>570.0</v>
      </c>
      <c r="D154" s="340">
        <v>600.0</v>
      </c>
      <c r="E154" s="343" t="s">
        <v>1329</v>
      </c>
    </row>
    <row r="155" ht="20.25" customHeight="1">
      <c r="A155" s="304"/>
      <c r="B155" s="320" t="s">
        <v>1330</v>
      </c>
      <c r="C155" s="321" t="s">
        <v>1426</v>
      </c>
      <c r="D155" s="322" t="s">
        <v>460</v>
      </c>
      <c r="E155" s="344" t="s">
        <v>1415</v>
      </c>
    </row>
    <row r="156" ht="20.25" customHeight="1">
      <c r="A156" s="324" t="s">
        <v>899</v>
      </c>
      <c r="B156" s="307" t="s">
        <v>1318</v>
      </c>
      <c r="C156" s="308">
        <v>0.35</v>
      </c>
      <c r="D156" s="309">
        <v>0.7</v>
      </c>
      <c r="E156" s="310" t="s">
        <v>1427</v>
      </c>
    </row>
    <row r="157" ht="20.25" customHeight="1">
      <c r="A157" s="332"/>
      <c r="B157" s="333" t="s">
        <v>1320</v>
      </c>
      <c r="C157" s="346">
        <v>0.5</v>
      </c>
      <c r="D157" s="335">
        <v>1.4</v>
      </c>
      <c r="E157" s="336" t="s">
        <v>1428</v>
      </c>
    </row>
    <row r="158" ht="20.25" customHeight="1">
      <c r="A158" s="294"/>
      <c r="B158" s="307" t="s">
        <v>1322</v>
      </c>
      <c r="C158" s="316">
        <v>1100.0</v>
      </c>
      <c r="D158" s="317">
        <v>1200.0</v>
      </c>
      <c r="E158" s="310" t="s">
        <v>1329</v>
      </c>
    </row>
    <row r="159" ht="20.25" customHeight="1">
      <c r="A159" s="294"/>
      <c r="B159" s="333" t="s">
        <v>1324</v>
      </c>
      <c r="C159" s="342">
        <v>0.0</v>
      </c>
      <c r="D159" s="340">
        <v>200.0</v>
      </c>
      <c r="E159" s="336" t="s">
        <v>1429</v>
      </c>
    </row>
    <row r="160" ht="20.25" customHeight="1">
      <c r="A160" s="294"/>
      <c r="B160" s="307" t="s">
        <v>1326</v>
      </c>
      <c r="C160" s="308">
        <v>1.0</v>
      </c>
      <c r="D160" s="309">
        <v>1.6</v>
      </c>
      <c r="E160" s="310" t="s">
        <v>1430</v>
      </c>
    </row>
    <row r="161" ht="20.25" customHeight="1">
      <c r="A161" s="294"/>
      <c r="B161" s="333" t="s">
        <v>1328</v>
      </c>
      <c r="C161" s="342">
        <v>500.0</v>
      </c>
      <c r="D161" s="340">
        <v>550.0</v>
      </c>
      <c r="E161" s="343" t="s">
        <v>1329</v>
      </c>
    </row>
    <row r="162" ht="20.25" customHeight="1">
      <c r="A162" s="304"/>
      <c r="B162" s="320" t="s">
        <v>1330</v>
      </c>
      <c r="C162" s="321" t="s">
        <v>548</v>
      </c>
      <c r="D162" s="322" t="s">
        <v>1431</v>
      </c>
      <c r="E162" s="323" t="s">
        <v>1432</v>
      </c>
    </row>
    <row r="163" ht="20.25" customHeight="1">
      <c r="A163" s="324" t="s">
        <v>918</v>
      </c>
      <c r="B163" s="307" t="s">
        <v>1318</v>
      </c>
      <c r="C163" s="308">
        <v>0.7</v>
      </c>
      <c r="D163" s="309">
        <v>0.9</v>
      </c>
      <c r="E163" s="310" t="s">
        <v>1433</v>
      </c>
    </row>
    <row r="164" ht="20.25" customHeight="1">
      <c r="A164" s="332"/>
      <c r="B164" s="333" t="s">
        <v>1320</v>
      </c>
      <c r="C164" s="346">
        <v>1.4</v>
      </c>
      <c r="D164" s="335">
        <v>2.0</v>
      </c>
      <c r="E164" s="336" t="s">
        <v>1334</v>
      </c>
    </row>
    <row r="165" ht="20.25" customHeight="1">
      <c r="A165" s="294"/>
      <c r="B165" s="307" t="s">
        <v>1322</v>
      </c>
      <c r="C165" s="316">
        <v>1100.0</v>
      </c>
      <c r="D165" s="317">
        <v>1200.0</v>
      </c>
      <c r="E165" s="310" t="s">
        <v>1329</v>
      </c>
    </row>
    <row r="166" ht="20.25" customHeight="1">
      <c r="A166" s="294"/>
      <c r="B166" s="333" t="s">
        <v>1324</v>
      </c>
      <c r="C166" s="342">
        <v>0.0</v>
      </c>
      <c r="D166" s="340">
        <v>200.0</v>
      </c>
      <c r="E166" s="336" t="s">
        <v>1434</v>
      </c>
    </row>
    <row r="167" ht="20.25" customHeight="1">
      <c r="A167" s="294"/>
      <c r="B167" s="307" t="s">
        <v>1326</v>
      </c>
      <c r="C167" s="308">
        <v>1.6</v>
      </c>
      <c r="D167" s="309">
        <v>2.0</v>
      </c>
      <c r="E167" s="310" t="s">
        <v>1435</v>
      </c>
    </row>
    <row r="168" ht="20.25" customHeight="1">
      <c r="A168" s="294"/>
      <c r="B168" s="333" t="s">
        <v>1328</v>
      </c>
      <c r="C168" s="342">
        <v>696.0</v>
      </c>
      <c r="D168" s="340">
        <v>750.0</v>
      </c>
      <c r="E168" s="343" t="s">
        <v>1329</v>
      </c>
    </row>
    <row r="169" ht="20.25" customHeight="1">
      <c r="A169" s="304"/>
      <c r="B169" s="320" t="s">
        <v>1330</v>
      </c>
      <c r="C169" s="321" t="s">
        <v>1371</v>
      </c>
      <c r="D169" s="322" t="s">
        <v>459</v>
      </c>
      <c r="E169" s="323" t="s">
        <v>1436</v>
      </c>
    </row>
    <row r="170" ht="20.25" customHeight="1">
      <c r="A170" s="324" t="s">
        <v>889</v>
      </c>
      <c r="B170" s="307" t="s">
        <v>1318</v>
      </c>
      <c r="C170" s="308">
        <v>0.9</v>
      </c>
      <c r="D170" s="309">
        <v>0.96</v>
      </c>
      <c r="E170" s="310" t="s">
        <v>1437</v>
      </c>
    </row>
    <row r="171" ht="20.25" customHeight="1">
      <c r="A171" s="332"/>
      <c r="B171" s="333" t="s">
        <v>1320</v>
      </c>
      <c r="C171" s="346">
        <v>2.2</v>
      </c>
      <c r="D171" s="335">
        <v>2.8</v>
      </c>
      <c r="E171" s="336" t="s">
        <v>1438</v>
      </c>
    </row>
    <row r="172" ht="20.25" customHeight="1">
      <c r="A172" s="294"/>
      <c r="B172" s="307" t="s">
        <v>1322</v>
      </c>
      <c r="C172" s="316">
        <v>1100.0</v>
      </c>
      <c r="D172" s="317">
        <v>1200.0</v>
      </c>
      <c r="E172" s="310" t="s">
        <v>1329</v>
      </c>
    </row>
    <row r="173" ht="20.25" customHeight="1">
      <c r="A173" s="294"/>
      <c r="B173" s="333" t="s">
        <v>1324</v>
      </c>
      <c r="C173" s="342">
        <v>0.0</v>
      </c>
      <c r="D173" s="340">
        <v>100.0</v>
      </c>
      <c r="E173" s="336" t="s">
        <v>1439</v>
      </c>
    </row>
    <row r="174" ht="20.25" customHeight="1">
      <c r="A174" s="294"/>
      <c r="B174" s="307" t="s">
        <v>1326</v>
      </c>
      <c r="C174" s="308">
        <v>1.0</v>
      </c>
      <c r="D174" s="309">
        <v>1.2</v>
      </c>
      <c r="E174" s="310" t="s">
        <v>1440</v>
      </c>
    </row>
    <row r="175" ht="20.25" customHeight="1">
      <c r="A175" s="294"/>
      <c r="B175" s="333" t="s">
        <v>1328</v>
      </c>
      <c r="C175" s="342">
        <v>576.0</v>
      </c>
      <c r="D175" s="340">
        <v>600.0</v>
      </c>
      <c r="E175" s="343" t="s">
        <v>1329</v>
      </c>
    </row>
    <row r="176" ht="20.25" customHeight="1">
      <c r="A176" s="304"/>
      <c r="B176" s="320" t="s">
        <v>1330</v>
      </c>
      <c r="C176" s="321" t="s">
        <v>1370</v>
      </c>
      <c r="D176" s="322" t="s">
        <v>1441</v>
      </c>
      <c r="E176" s="323" t="s">
        <v>1442</v>
      </c>
    </row>
    <row r="177" ht="20.25" customHeight="1">
      <c r="A177" s="324" t="s">
        <v>1443</v>
      </c>
      <c r="B177" s="307" t="s">
        <v>1318</v>
      </c>
      <c r="C177" s="308">
        <v>0.35</v>
      </c>
      <c r="D177" s="309">
        <v>0.8</v>
      </c>
      <c r="E177" s="310" t="s">
        <v>1444</v>
      </c>
    </row>
    <row r="178" ht="20.25" customHeight="1">
      <c r="A178" s="332"/>
      <c r="B178" s="333" t="s">
        <v>1320</v>
      </c>
      <c r="C178" s="346">
        <v>0.7</v>
      </c>
      <c r="D178" s="335">
        <v>1.6</v>
      </c>
      <c r="E178" s="336" t="s">
        <v>1334</v>
      </c>
    </row>
    <row r="179" ht="20.25" customHeight="1">
      <c r="A179" s="294"/>
      <c r="B179" s="307" t="s">
        <v>1322</v>
      </c>
      <c r="C179" s="316">
        <v>1600.0</v>
      </c>
      <c r="D179" s="317">
        <v>2000.0</v>
      </c>
      <c r="E179" s="310" t="s">
        <v>1445</v>
      </c>
    </row>
    <row r="180" ht="20.25" customHeight="1">
      <c r="A180" s="294"/>
      <c r="B180" s="333" t="s">
        <v>1324</v>
      </c>
      <c r="C180" s="342">
        <v>0.0</v>
      </c>
      <c r="D180" s="340">
        <v>200.0</v>
      </c>
      <c r="E180" s="336" t="s">
        <v>1446</v>
      </c>
    </row>
    <row r="181" ht="20.25" customHeight="1">
      <c r="A181" s="294"/>
      <c r="B181" s="307" t="s">
        <v>1326</v>
      </c>
      <c r="C181" s="308">
        <v>1.8</v>
      </c>
      <c r="D181" s="309">
        <v>2.2</v>
      </c>
      <c r="E181" s="310" t="s">
        <v>1447</v>
      </c>
    </row>
    <row r="182" ht="20.25" customHeight="1">
      <c r="A182" s="294"/>
      <c r="B182" s="333" t="s">
        <v>1328</v>
      </c>
      <c r="C182" s="342">
        <v>683.0</v>
      </c>
      <c r="D182" s="340">
        <v>700.0</v>
      </c>
      <c r="E182" s="343" t="s">
        <v>1329</v>
      </c>
    </row>
    <row r="183" ht="20.25" customHeight="1">
      <c r="A183" s="304"/>
      <c r="B183" s="320" t="s">
        <v>1330</v>
      </c>
      <c r="C183" s="321" t="s">
        <v>588</v>
      </c>
      <c r="D183" s="322" t="s">
        <v>901</v>
      </c>
      <c r="E183" s="323" t="s">
        <v>1448</v>
      </c>
    </row>
    <row r="184" ht="20.25" customHeight="1">
      <c r="A184" s="324" t="s">
        <v>894</v>
      </c>
      <c r="B184" s="307" t="s">
        <v>1318</v>
      </c>
      <c r="C184" s="308">
        <v>0.4</v>
      </c>
      <c r="D184" s="309">
        <v>0.5</v>
      </c>
      <c r="E184" s="310" t="s">
        <v>1449</v>
      </c>
    </row>
    <row r="185" ht="20.25" customHeight="1">
      <c r="A185" s="332"/>
      <c r="B185" s="333" t="s">
        <v>1320</v>
      </c>
      <c r="C185" s="346">
        <v>0.8</v>
      </c>
      <c r="D185" s="335">
        <v>1.0</v>
      </c>
      <c r="E185" s="336" t="s">
        <v>1450</v>
      </c>
    </row>
    <row r="186" ht="20.25" customHeight="1">
      <c r="A186" s="294"/>
      <c r="B186" s="307" t="s">
        <v>1322</v>
      </c>
      <c r="C186" s="316">
        <v>1100.0</v>
      </c>
      <c r="D186" s="317">
        <v>1200.0</v>
      </c>
      <c r="E186" s="310" t="s">
        <v>1329</v>
      </c>
    </row>
    <row r="187" ht="20.25" customHeight="1">
      <c r="A187" s="294"/>
      <c r="B187" s="333" t="s">
        <v>1324</v>
      </c>
      <c r="C187" s="342">
        <v>200.0</v>
      </c>
      <c r="D187" s="340">
        <v>700.0</v>
      </c>
      <c r="E187" s="336" t="s">
        <v>1451</v>
      </c>
    </row>
    <row r="188" ht="20.25" customHeight="1">
      <c r="A188" s="294"/>
      <c r="B188" s="307" t="s">
        <v>1326</v>
      </c>
      <c r="C188" s="308">
        <v>1.0</v>
      </c>
      <c r="D188" s="309">
        <v>1.3</v>
      </c>
      <c r="E188" s="310" t="s">
        <v>1452</v>
      </c>
    </row>
    <row r="189" ht="20.25" customHeight="1">
      <c r="A189" s="294"/>
      <c r="B189" s="333" t="s">
        <v>1328</v>
      </c>
      <c r="C189" s="342">
        <v>729.0</v>
      </c>
      <c r="D189" s="340">
        <v>750.0</v>
      </c>
      <c r="E189" s="343" t="s">
        <v>1329</v>
      </c>
    </row>
    <row r="190" ht="20.25" customHeight="1">
      <c r="A190" s="304"/>
      <c r="B190" s="320" t="s">
        <v>1330</v>
      </c>
      <c r="C190" s="321" t="s">
        <v>442</v>
      </c>
      <c r="D190" s="322" t="s">
        <v>1453</v>
      </c>
      <c r="E190" s="323" t="s">
        <v>1454</v>
      </c>
    </row>
    <row r="191" ht="20.25" customHeight="1">
      <c r="A191" s="324" t="s">
        <v>860</v>
      </c>
      <c r="B191" s="307" t="s">
        <v>1318</v>
      </c>
      <c r="C191" s="308">
        <v>0.8</v>
      </c>
      <c r="D191" s="309">
        <v>0.9</v>
      </c>
      <c r="E191" s="310" t="s">
        <v>1455</v>
      </c>
    </row>
    <row r="192" ht="20.25" customHeight="1">
      <c r="A192" s="332"/>
      <c r="B192" s="333" t="s">
        <v>1320</v>
      </c>
      <c r="C192" s="346">
        <v>1.6</v>
      </c>
      <c r="D192" s="335">
        <v>2.3</v>
      </c>
      <c r="E192" s="336" t="s">
        <v>1321</v>
      </c>
    </row>
    <row r="193" ht="20.25" customHeight="1">
      <c r="A193" s="294"/>
      <c r="B193" s="307" t="s">
        <v>1322</v>
      </c>
      <c r="C193" s="316">
        <v>1300.0</v>
      </c>
      <c r="D193" s="317">
        <v>1400.0</v>
      </c>
      <c r="E193" s="310" t="s">
        <v>1329</v>
      </c>
    </row>
    <row r="194" ht="20.25" customHeight="1">
      <c r="A194" s="294"/>
      <c r="B194" s="333" t="s">
        <v>1324</v>
      </c>
      <c r="C194" s="342">
        <v>0.0</v>
      </c>
      <c r="D194" s="340">
        <v>200.0</v>
      </c>
      <c r="E194" s="336" t="s">
        <v>1446</v>
      </c>
    </row>
    <row r="195" ht="20.25" customHeight="1">
      <c r="A195" s="294"/>
      <c r="B195" s="307" t="s">
        <v>1326</v>
      </c>
      <c r="C195" s="308">
        <v>1.6</v>
      </c>
      <c r="D195" s="309">
        <v>2.0</v>
      </c>
      <c r="E195" s="310" t="s">
        <v>1456</v>
      </c>
    </row>
    <row r="196" ht="20.25" customHeight="1">
      <c r="A196" s="294"/>
      <c r="B196" s="333" t="s">
        <v>1328</v>
      </c>
      <c r="C196" s="342">
        <v>548.0</v>
      </c>
      <c r="D196" s="340">
        <v>600.0</v>
      </c>
      <c r="E196" s="343" t="s">
        <v>1329</v>
      </c>
    </row>
    <row r="197" ht="20.25" customHeight="1">
      <c r="A197" s="304"/>
      <c r="B197" s="320" t="s">
        <v>1330</v>
      </c>
      <c r="C197" s="321" t="s">
        <v>488</v>
      </c>
      <c r="D197" s="322" t="s">
        <v>1457</v>
      </c>
      <c r="E197" s="344" t="s">
        <v>1415</v>
      </c>
    </row>
    <row r="198" ht="20.25" customHeight="1">
      <c r="A198" s="324" t="s">
        <v>828</v>
      </c>
      <c r="B198" s="307" t="s">
        <v>1318</v>
      </c>
      <c r="C198" s="308">
        <v>0.8</v>
      </c>
      <c r="D198" s="309">
        <v>0.95</v>
      </c>
      <c r="E198" s="310" t="s">
        <v>1458</v>
      </c>
    </row>
    <row r="199" ht="20.25" customHeight="1">
      <c r="A199" s="332"/>
      <c r="B199" s="333" t="s">
        <v>1320</v>
      </c>
      <c r="C199" s="346">
        <v>1.7</v>
      </c>
      <c r="D199" s="335">
        <v>2.1</v>
      </c>
      <c r="E199" s="336" t="s">
        <v>1321</v>
      </c>
    </row>
    <row r="200" ht="20.25" customHeight="1">
      <c r="A200" s="294"/>
      <c r="B200" s="307" t="s">
        <v>1322</v>
      </c>
      <c r="C200" s="316">
        <v>1800.0</v>
      </c>
      <c r="D200" s="317">
        <v>2400.0</v>
      </c>
      <c r="E200" s="310" t="s">
        <v>1386</v>
      </c>
    </row>
    <row r="201" ht="20.25" customHeight="1">
      <c r="A201" s="294"/>
      <c r="B201" s="333" t="s">
        <v>1324</v>
      </c>
      <c r="C201" s="342">
        <v>0.0</v>
      </c>
      <c r="D201" s="340">
        <v>600.0</v>
      </c>
      <c r="E201" s="336" t="s">
        <v>1459</v>
      </c>
    </row>
    <row r="202" ht="20.25" customHeight="1">
      <c r="A202" s="294"/>
      <c r="B202" s="307" t="s">
        <v>1326</v>
      </c>
      <c r="C202" s="308">
        <v>1.2</v>
      </c>
      <c r="D202" s="309">
        <v>1.4</v>
      </c>
      <c r="E202" s="310" t="s">
        <v>1460</v>
      </c>
    </row>
    <row r="203" ht="20.25" customHeight="1">
      <c r="A203" s="294"/>
      <c r="B203" s="333" t="s">
        <v>1328</v>
      </c>
      <c r="C203" s="342">
        <v>769.0</v>
      </c>
      <c r="D203" s="340">
        <v>800.0</v>
      </c>
      <c r="E203" s="343" t="s">
        <v>1329</v>
      </c>
    </row>
    <row r="204" ht="20.25" customHeight="1">
      <c r="A204" s="304"/>
      <c r="B204" s="320" t="s">
        <v>1330</v>
      </c>
      <c r="C204" s="321" t="s">
        <v>1332</v>
      </c>
      <c r="D204" s="322" t="s">
        <v>437</v>
      </c>
      <c r="E204" s="344" t="s">
        <v>1415</v>
      </c>
    </row>
    <row r="205" ht="20.25" customHeight="1">
      <c r="A205" s="324" t="s">
        <v>913</v>
      </c>
      <c r="B205" s="307" t="s">
        <v>1318</v>
      </c>
      <c r="C205" s="308">
        <v>0.75</v>
      </c>
      <c r="D205" s="309">
        <v>0.9</v>
      </c>
      <c r="E205" s="310" t="s">
        <v>1461</v>
      </c>
    </row>
    <row r="206" ht="20.25" customHeight="1">
      <c r="A206" s="332"/>
      <c r="B206" s="333" t="s">
        <v>1320</v>
      </c>
      <c r="C206" s="346">
        <v>1.5</v>
      </c>
      <c r="D206" s="335">
        <v>1.8</v>
      </c>
      <c r="E206" s="336" t="s">
        <v>1462</v>
      </c>
    </row>
    <row r="207" ht="20.25" customHeight="1">
      <c r="A207" s="294"/>
      <c r="B207" s="307" t="s">
        <v>1322</v>
      </c>
      <c r="C207" s="316">
        <v>1900.0</v>
      </c>
      <c r="D207" s="317">
        <v>2500.0</v>
      </c>
      <c r="E207" s="310" t="s">
        <v>1463</v>
      </c>
    </row>
    <row r="208" ht="20.25" customHeight="1">
      <c r="A208" s="294"/>
      <c r="B208" s="333" t="s">
        <v>1324</v>
      </c>
      <c r="C208" s="342">
        <v>100.0</v>
      </c>
      <c r="D208" s="340">
        <v>200.0</v>
      </c>
      <c r="E208" s="336" t="s">
        <v>1464</v>
      </c>
    </row>
    <row r="209" ht="20.25" customHeight="1">
      <c r="A209" s="294"/>
      <c r="B209" s="307" t="s">
        <v>1326</v>
      </c>
      <c r="C209" s="308">
        <v>1.2</v>
      </c>
      <c r="D209" s="309">
        <v>1.3</v>
      </c>
      <c r="E209" s="310" t="s">
        <v>1465</v>
      </c>
    </row>
    <row r="210" ht="20.25" customHeight="1">
      <c r="A210" s="294"/>
      <c r="B210" s="333" t="s">
        <v>1328</v>
      </c>
      <c r="C210" s="342">
        <v>815.0</v>
      </c>
      <c r="D210" s="340">
        <v>850.0</v>
      </c>
      <c r="E210" s="343" t="s">
        <v>1329</v>
      </c>
    </row>
    <row r="211" ht="20.25" customHeight="1">
      <c r="A211" s="304"/>
      <c r="B211" s="320" t="s">
        <v>1330</v>
      </c>
      <c r="C211" s="321" t="s">
        <v>1338</v>
      </c>
      <c r="D211" s="322" t="s">
        <v>1331</v>
      </c>
      <c r="E211" s="350" t="s">
        <v>1329</v>
      </c>
    </row>
    <row r="212" ht="20.25" customHeight="1">
      <c r="A212" s="324" t="s">
        <v>835</v>
      </c>
      <c r="B212" s="307" t="s">
        <v>1318</v>
      </c>
      <c r="C212" s="308">
        <v>0.35</v>
      </c>
      <c r="D212" s="309">
        <v>0.4</v>
      </c>
      <c r="E212" s="310" t="s">
        <v>1355</v>
      </c>
    </row>
    <row r="213" ht="20.25" customHeight="1">
      <c r="A213" s="332"/>
      <c r="B213" s="333" t="s">
        <v>1320</v>
      </c>
      <c r="C213" s="346">
        <v>0.5</v>
      </c>
      <c r="D213" s="335">
        <v>0.6</v>
      </c>
      <c r="E213" s="336" t="s">
        <v>1466</v>
      </c>
    </row>
    <row r="214" ht="20.25" customHeight="1">
      <c r="A214" s="294"/>
      <c r="B214" s="307" t="s">
        <v>1322</v>
      </c>
      <c r="C214" s="316">
        <v>1100.0</v>
      </c>
      <c r="D214" s="317">
        <v>1200.0</v>
      </c>
      <c r="E214" s="310" t="s">
        <v>1467</v>
      </c>
    </row>
    <row r="215" ht="20.25" customHeight="1">
      <c r="A215" s="294"/>
      <c r="B215" s="333" t="s">
        <v>1324</v>
      </c>
      <c r="C215" s="342">
        <v>0.0</v>
      </c>
      <c r="D215" s="340">
        <v>1000.0</v>
      </c>
      <c r="E215" s="336" t="s">
        <v>1468</v>
      </c>
    </row>
    <row r="216" ht="20.25" customHeight="1">
      <c r="A216" s="294"/>
      <c r="B216" s="307" t="s">
        <v>1326</v>
      </c>
      <c r="C216" s="308">
        <v>1.0</v>
      </c>
      <c r="D216" s="309">
        <v>2.0</v>
      </c>
      <c r="E216" s="310" t="s">
        <v>1469</v>
      </c>
    </row>
    <row r="217" ht="20.25" customHeight="1">
      <c r="A217" s="294"/>
      <c r="B217" s="333" t="s">
        <v>1328</v>
      </c>
      <c r="C217" s="342">
        <v>669.0</v>
      </c>
      <c r="D217" s="340">
        <v>700.0</v>
      </c>
      <c r="E217" s="343" t="s">
        <v>1329</v>
      </c>
    </row>
    <row r="218" ht="20.25" customHeight="1">
      <c r="A218" s="304"/>
      <c r="B218" s="320" t="s">
        <v>1330</v>
      </c>
      <c r="C218" s="321" t="s">
        <v>1332</v>
      </c>
      <c r="D218" s="322" t="s">
        <v>414</v>
      </c>
      <c r="E218" s="323" t="s">
        <v>1470</v>
      </c>
    </row>
    <row r="219" ht="20.25" customHeight="1">
      <c r="A219" s="324" t="s">
        <v>907</v>
      </c>
      <c r="B219" s="307" t="s">
        <v>1318</v>
      </c>
      <c r="C219" s="308">
        <v>0.5</v>
      </c>
      <c r="D219" s="309">
        <v>0.75</v>
      </c>
      <c r="E219" s="310" t="s">
        <v>1471</v>
      </c>
    </row>
    <row r="220" ht="20.25" customHeight="1">
      <c r="A220" s="332"/>
      <c r="B220" s="333" t="s">
        <v>1320</v>
      </c>
      <c r="C220" s="346">
        <v>1.0</v>
      </c>
      <c r="D220" s="335">
        <v>1.5</v>
      </c>
      <c r="E220" s="336" t="s">
        <v>1334</v>
      </c>
    </row>
    <row r="221" ht="20.25" customHeight="1">
      <c r="A221" s="294"/>
      <c r="B221" s="307" t="s">
        <v>1322</v>
      </c>
      <c r="C221" s="316">
        <v>1400.0</v>
      </c>
      <c r="D221" s="317">
        <v>2000.0</v>
      </c>
      <c r="E221" s="310" t="s">
        <v>1472</v>
      </c>
    </row>
    <row r="222" ht="20.25" customHeight="1">
      <c r="A222" s="294"/>
      <c r="B222" s="333" t="s">
        <v>1324</v>
      </c>
      <c r="C222" s="342">
        <v>0.0</v>
      </c>
      <c r="D222" s="340">
        <v>1000.0</v>
      </c>
      <c r="E222" s="336" t="s">
        <v>1473</v>
      </c>
    </row>
    <row r="223" ht="20.25" customHeight="1">
      <c r="A223" s="294"/>
      <c r="B223" s="307" t="s">
        <v>1326</v>
      </c>
      <c r="C223" s="308">
        <v>1.8</v>
      </c>
      <c r="D223" s="309">
        <v>2.0</v>
      </c>
      <c r="E223" s="310" t="s">
        <v>1474</v>
      </c>
    </row>
    <row r="224" ht="20.25" customHeight="1">
      <c r="A224" s="294"/>
      <c r="B224" s="333" t="s">
        <v>1328</v>
      </c>
      <c r="C224" s="342">
        <v>758.0</v>
      </c>
      <c r="D224" s="340">
        <v>800.0</v>
      </c>
      <c r="E224" s="343" t="s">
        <v>1329</v>
      </c>
    </row>
    <row r="225" ht="20.25" customHeight="1">
      <c r="A225" s="304"/>
      <c r="B225" s="320" t="s">
        <v>1330</v>
      </c>
      <c r="C225" s="321" t="s">
        <v>1158</v>
      </c>
      <c r="D225" s="322" t="s">
        <v>1332</v>
      </c>
      <c r="E225" s="323" t="s">
        <v>1475</v>
      </c>
    </row>
    <row r="226" ht="20.25" customHeight="1">
      <c r="A226" s="324" t="s">
        <v>878</v>
      </c>
      <c r="B226" s="307" t="s">
        <v>1318</v>
      </c>
      <c r="C226" s="308">
        <v>0.5</v>
      </c>
      <c r="D226" s="309">
        <v>0.7</v>
      </c>
      <c r="E226" s="310" t="s">
        <v>1476</v>
      </c>
    </row>
    <row r="227" ht="20.25" customHeight="1">
      <c r="A227" s="332"/>
      <c r="B227" s="333" t="s">
        <v>1320</v>
      </c>
      <c r="C227" s="346">
        <v>1.0</v>
      </c>
      <c r="D227" s="335">
        <v>1.5</v>
      </c>
      <c r="E227" s="336" t="s">
        <v>1334</v>
      </c>
    </row>
    <row r="228" ht="20.25" customHeight="1">
      <c r="A228" s="294"/>
      <c r="B228" s="307" t="s">
        <v>1322</v>
      </c>
      <c r="C228" s="316">
        <v>1300.0</v>
      </c>
      <c r="D228" s="317">
        <v>1600.0</v>
      </c>
      <c r="E228" s="310" t="s">
        <v>1477</v>
      </c>
    </row>
    <row r="229" ht="20.25" customHeight="1">
      <c r="A229" s="294"/>
      <c r="B229" s="333" t="s">
        <v>1324</v>
      </c>
      <c r="C229" s="342">
        <v>0.0</v>
      </c>
      <c r="D229" s="340">
        <v>200.0</v>
      </c>
      <c r="E229" s="336" t="s">
        <v>1478</v>
      </c>
    </row>
    <row r="230" ht="20.25" customHeight="1">
      <c r="A230" s="294"/>
      <c r="B230" s="307" t="s">
        <v>1326</v>
      </c>
      <c r="C230" s="308">
        <v>1.6</v>
      </c>
      <c r="D230" s="309">
        <v>2.5</v>
      </c>
      <c r="E230" s="310" t="s">
        <v>1479</v>
      </c>
    </row>
    <row r="231" ht="20.25" customHeight="1">
      <c r="A231" s="294"/>
      <c r="B231" s="333" t="s">
        <v>1328</v>
      </c>
      <c r="C231" s="342">
        <v>653.0</v>
      </c>
      <c r="D231" s="340">
        <v>700.0</v>
      </c>
      <c r="E231" s="343" t="s">
        <v>1329</v>
      </c>
    </row>
    <row r="232" ht="20.25" customHeight="1">
      <c r="A232" s="304"/>
      <c r="B232" s="320" t="s">
        <v>1330</v>
      </c>
      <c r="C232" s="321" t="s">
        <v>1158</v>
      </c>
      <c r="D232" s="322" t="s">
        <v>1267</v>
      </c>
      <c r="E232" s="350" t="s">
        <v>1329</v>
      </c>
    </row>
    <row r="233" ht="20.25" customHeight="1">
      <c r="A233" s="324" t="s">
        <v>925</v>
      </c>
      <c r="B233" s="307" t="s">
        <v>1318</v>
      </c>
      <c r="C233" s="308">
        <v>0.3</v>
      </c>
      <c r="D233" s="309">
        <v>0.5</v>
      </c>
      <c r="E233" s="310" t="s">
        <v>1476</v>
      </c>
    </row>
    <row r="234" ht="20.25" customHeight="1">
      <c r="A234" s="332"/>
      <c r="B234" s="333" t="s">
        <v>1320</v>
      </c>
      <c r="C234" s="346">
        <v>0.5</v>
      </c>
      <c r="D234" s="335">
        <v>1.0</v>
      </c>
      <c r="E234" s="336" t="s">
        <v>1480</v>
      </c>
    </row>
    <row r="235" ht="20.25" customHeight="1">
      <c r="A235" s="294"/>
      <c r="B235" s="307" t="s">
        <v>1322</v>
      </c>
      <c r="C235" s="316">
        <v>1100.0</v>
      </c>
      <c r="D235" s="317">
        <v>1700.0</v>
      </c>
      <c r="E235" s="310" t="s">
        <v>1481</v>
      </c>
    </row>
    <row r="236" ht="20.25" customHeight="1">
      <c r="A236" s="294"/>
      <c r="B236" s="333" t="s">
        <v>1324</v>
      </c>
      <c r="C236" s="342">
        <v>200.0</v>
      </c>
      <c r="D236" s="340">
        <v>1100.0</v>
      </c>
      <c r="E236" s="336" t="s">
        <v>1482</v>
      </c>
    </row>
    <row r="237" ht="20.25" customHeight="1">
      <c r="A237" s="294"/>
      <c r="B237" s="307" t="s">
        <v>1326</v>
      </c>
      <c r="C237" s="308">
        <v>2.0</v>
      </c>
      <c r="D237" s="309">
        <v>2.5</v>
      </c>
      <c r="E237" s="310" t="s">
        <v>1483</v>
      </c>
    </row>
    <row r="238" ht="20.25" customHeight="1">
      <c r="A238" s="294"/>
      <c r="B238" s="333" t="s">
        <v>1328</v>
      </c>
      <c r="C238" s="342">
        <v>607.0</v>
      </c>
      <c r="D238" s="340">
        <v>650.0</v>
      </c>
      <c r="E238" s="343" t="s">
        <v>1329</v>
      </c>
    </row>
    <row r="239" ht="20.25" customHeight="1">
      <c r="A239" s="304"/>
      <c r="B239" s="320" t="s">
        <v>1330</v>
      </c>
      <c r="C239" s="321" t="s">
        <v>1158</v>
      </c>
      <c r="D239" s="322" t="s">
        <v>1267</v>
      </c>
      <c r="E239" s="350" t="s">
        <v>1329</v>
      </c>
    </row>
    <row r="240" ht="20.25" customHeight="1">
      <c r="A240" s="351" t="s">
        <v>1042</v>
      </c>
      <c r="B240" s="287" t="s">
        <v>1318</v>
      </c>
      <c r="C240" s="352">
        <v>0.9</v>
      </c>
      <c r="D240" s="353">
        <v>0.95</v>
      </c>
      <c r="E240" s="166" t="s">
        <v>1484</v>
      </c>
    </row>
    <row r="241" ht="20.25" customHeight="1">
      <c r="A241" s="354"/>
      <c r="B241" s="355" t="s">
        <v>1320</v>
      </c>
      <c r="C241" s="356">
        <v>1.8</v>
      </c>
      <c r="D241" s="357">
        <v>2.5</v>
      </c>
      <c r="E241" s="212" t="s">
        <v>1485</v>
      </c>
    </row>
    <row r="242" ht="20.25" customHeight="1">
      <c r="A242" s="294"/>
      <c r="B242" s="287" t="s">
        <v>1322</v>
      </c>
      <c r="C242" s="358">
        <v>2000.0</v>
      </c>
      <c r="D242" s="359">
        <v>2500.0</v>
      </c>
      <c r="E242" s="166" t="s">
        <v>1486</v>
      </c>
    </row>
    <row r="243" ht="20.25" customHeight="1">
      <c r="A243" s="294"/>
      <c r="B243" s="355" t="s">
        <v>1324</v>
      </c>
      <c r="C243" s="360">
        <v>200.0</v>
      </c>
      <c r="D243" s="361">
        <v>300.0</v>
      </c>
      <c r="E243" s="212" t="s">
        <v>1487</v>
      </c>
    </row>
    <row r="244" ht="20.25" customHeight="1">
      <c r="A244" s="294"/>
      <c r="B244" s="287" t="s">
        <v>1326</v>
      </c>
      <c r="C244" s="352">
        <v>1.0</v>
      </c>
      <c r="D244" s="353">
        <v>1.3</v>
      </c>
      <c r="E244" s="166" t="s">
        <v>1488</v>
      </c>
    </row>
    <row r="245" ht="20.25" customHeight="1">
      <c r="A245" s="294"/>
      <c r="B245" s="355" t="s">
        <v>1328</v>
      </c>
      <c r="C245" s="360">
        <v>809.0</v>
      </c>
      <c r="D245" s="361">
        <v>850.0</v>
      </c>
      <c r="E245" s="212" t="s">
        <v>1329</v>
      </c>
    </row>
    <row r="246" ht="20.25" customHeight="1">
      <c r="A246" s="362"/>
      <c r="B246" s="363" t="s">
        <v>1330</v>
      </c>
      <c r="C246" s="364" t="s">
        <v>588</v>
      </c>
      <c r="D246" s="365" t="s">
        <v>1338</v>
      </c>
      <c r="E246" s="350" t="s">
        <v>1329</v>
      </c>
    </row>
    <row r="247" ht="20.25" customHeight="1">
      <c r="A247" s="351" t="s">
        <v>931</v>
      </c>
      <c r="B247" s="287" t="s">
        <v>1318</v>
      </c>
      <c r="C247" s="352">
        <v>0.35</v>
      </c>
      <c r="D247" s="353">
        <v>0.5</v>
      </c>
      <c r="E247" s="166" t="s">
        <v>1333</v>
      </c>
    </row>
    <row r="248" ht="20.25" customHeight="1">
      <c r="A248" s="354"/>
      <c r="B248" s="355" t="s">
        <v>1320</v>
      </c>
      <c r="C248" s="356">
        <v>0.7</v>
      </c>
      <c r="D248" s="357">
        <v>1.0</v>
      </c>
      <c r="E248" s="212" t="s">
        <v>1334</v>
      </c>
    </row>
    <row r="249" ht="20.25" customHeight="1">
      <c r="A249" s="294"/>
      <c r="B249" s="287" t="s">
        <v>1322</v>
      </c>
      <c r="C249" s="358">
        <v>3000.0</v>
      </c>
      <c r="D249" s="359">
        <v>5000.0</v>
      </c>
      <c r="E249" s="166" t="s">
        <v>1489</v>
      </c>
    </row>
    <row r="250" ht="20.25" customHeight="1">
      <c r="A250" s="294"/>
      <c r="B250" s="355" t="s">
        <v>1324</v>
      </c>
      <c r="C250" s="360">
        <v>0.0</v>
      </c>
      <c r="D250" s="361">
        <v>200.0</v>
      </c>
      <c r="E250" s="212" t="s">
        <v>1490</v>
      </c>
    </row>
    <row r="251" ht="20.25" customHeight="1">
      <c r="A251" s="294"/>
      <c r="B251" s="287" t="s">
        <v>1326</v>
      </c>
      <c r="C251" s="352">
        <v>1.6</v>
      </c>
      <c r="D251" s="353">
        <v>2.2</v>
      </c>
      <c r="E251" s="166" t="s">
        <v>1491</v>
      </c>
    </row>
    <row r="252" ht="20.25" customHeight="1">
      <c r="A252" s="294"/>
      <c r="B252" s="355" t="s">
        <v>1328</v>
      </c>
      <c r="C252" s="360">
        <v>782.0</v>
      </c>
      <c r="D252" s="361">
        <v>850.0</v>
      </c>
      <c r="E252" s="212" t="s">
        <v>1329</v>
      </c>
    </row>
    <row r="253" ht="20.25" customHeight="1">
      <c r="A253" s="362"/>
      <c r="B253" s="363" t="s">
        <v>1330</v>
      </c>
      <c r="C253" s="364" t="s">
        <v>1267</v>
      </c>
      <c r="D253" s="365" t="s">
        <v>1338</v>
      </c>
      <c r="E253" s="350" t="s">
        <v>1329</v>
      </c>
    </row>
    <row r="254" ht="20.25" customHeight="1">
      <c r="A254" s="351" t="s">
        <v>939</v>
      </c>
      <c r="B254" s="287" t="s">
        <v>1318</v>
      </c>
      <c r="C254" s="352">
        <v>0.85</v>
      </c>
      <c r="D254" s="353">
        <v>0.95</v>
      </c>
      <c r="E254" s="166" t="s">
        <v>1492</v>
      </c>
    </row>
    <row r="255" ht="20.25" customHeight="1">
      <c r="A255" s="354"/>
      <c r="B255" s="355" t="s">
        <v>1320</v>
      </c>
      <c r="C255" s="356">
        <v>1.8</v>
      </c>
      <c r="D255" s="357">
        <v>2.1</v>
      </c>
      <c r="E255" s="212" t="s">
        <v>1334</v>
      </c>
    </row>
    <row r="256" ht="20.25" customHeight="1">
      <c r="A256" s="294"/>
      <c r="B256" s="287" t="s">
        <v>1322</v>
      </c>
      <c r="C256" s="358">
        <v>2600.0</v>
      </c>
      <c r="D256" s="359">
        <v>3200.0</v>
      </c>
      <c r="E256" s="166" t="s">
        <v>1493</v>
      </c>
    </row>
    <row r="257" ht="20.25" customHeight="1">
      <c r="A257" s="294"/>
      <c r="B257" s="355" t="s">
        <v>1324</v>
      </c>
      <c r="C257" s="360">
        <v>0.0</v>
      </c>
      <c r="D257" s="361">
        <v>600.0</v>
      </c>
      <c r="E257" s="212" t="s">
        <v>1494</v>
      </c>
    </row>
    <row r="258" ht="20.25" customHeight="1">
      <c r="A258" s="294"/>
      <c r="B258" s="287" t="s">
        <v>1326</v>
      </c>
      <c r="C258" s="352">
        <v>1.0</v>
      </c>
      <c r="D258" s="353">
        <v>1.2</v>
      </c>
      <c r="E258" s="166" t="s">
        <v>1495</v>
      </c>
    </row>
    <row r="259" ht="20.25" customHeight="1">
      <c r="A259" s="294"/>
      <c r="B259" s="355" t="s">
        <v>1328</v>
      </c>
      <c r="C259" s="360">
        <v>782.0</v>
      </c>
      <c r="D259" s="361">
        <v>850.0</v>
      </c>
      <c r="E259" s="212" t="s">
        <v>1329</v>
      </c>
    </row>
    <row r="260" ht="20.25" customHeight="1">
      <c r="A260" s="362"/>
      <c r="B260" s="363" t="s">
        <v>1330</v>
      </c>
      <c r="C260" s="364" t="s">
        <v>1338</v>
      </c>
      <c r="D260" s="365" t="s">
        <v>1331</v>
      </c>
      <c r="E260" s="350" t="s">
        <v>1329</v>
      </c>
    </row>
    <row r="261" ht="20.25" customHeight="1">
      <c r="A261" s="351" t="s">
        <v>945</v>
      </c>
      <c r="B261" s="287" t="s">
        <v>1318</v>
      </c>
      <c r="C261" s="352">
        <v>0.5</v>
      </c>
      <c r="D261" s="353">
        <v>0.7</v>
      </c>
      <c r="E261" s="166" t="s">
        <v>1496</v>
      </c>
    </row>
    <row r="262" ht="20.25" customHeight="1">
      <c r="A262" s="354"/>
      <c r="B262" s="355" t="s">
        <v>1320</v>
      </c>
      <c r="C262" s="356">
        <v>1.0</v>
      </c>
      <c r="D262" s="357">
        <v>1.5</v>
      </c>
      <c r="E262" s="212" t="s">
        <v>1497</v>
      </c>
    </row>
    <row r="263" ht="20.25" customHeight="1">
      <c r="A263" s="294"/>
      <c r="B263" s="287" t="s">
        <v>1322</v>
      </c>
      <c r="C263" s="358">
        <v>1200.0</v>
      </c>
      <c r="D263" s="359">
        <v>2200.0</v>
      </c>
      <c r="E263" s="166" t="s">
        <v>1498</v>
      </c>
    </row>
    <row r="264" ht="20.25" customHeight="1">
      <c r="A264" s="294"/>
      <c r="B264" s="355" t="s">
        <v>1324</v>
      </c>
      <c r="C264" s="360">
        <v>0.0</v>
      </c>
      <c r="D264" s="361">
        <v>1000.0</v>
      </c>
      <c r="E264" s="212" t="s">
        <v>1499</v>
      </c>
    </row>
    <row r="265" ht="20.25" customHeight="1">
      <c r="A265" s="294"/>
      <c r="B265" s="287" t="s">
        <v>1326</v>
      </c>
      <c r="C265" s="352">
        <v>1.8</v>
      </c>
      <c r="D265" s="353">
        <v>2.5</v>
      </c>
      <c r="E265" s="166" t="s">
        <v>1500</v>
      </c>
    </row>
    <row r="266" ht="20.25" customHeight="1">
      <c r="A266" s="294"/>
      <c r="B266" s="355" t="s">
        <v>1328</v>
      </c>
      <c r="C266" s="360">
        <v>648.0</v>
      </c>
      <c r="D266" s="361">
        <v>700.0</v>
      </c>
      <c r="E266" s="212" t="s">
        <v>1329</v>
      </c>
    </row>
    <row r="267" ht="20.25" customHeight="1">
      <c r="A267" s="362"/>
      <c r="B267" s="363" t="s">
        <v>1330</v>
      </c>
      <c r="C267" s="364" t="s">
        <v>1338</v>
      </c>
      <c r="D267" s="365" t="s">
        <v>1332</v>
      </c>
      <c r="E267" s="350" t="s">
        <v>1501</v>
      </c>
    </row>
    <row r="268" ht="20.25" customHeight="1">
      <c r="A268" s="351" t="s">
        <v>952</v>
      </c>
      <c r="B268" s="287" t="s">
        <v>1318</v>
      </c>
      <c r="C268" s="352">
        <v>0.5</v>
      </c>
      <c r="D268" s="353">
        <v>0.8</v>
      </c>
      <c r="E268" s="166" t="s">
        <v>1496</v>
      </c>
    </row>
    <row r="269" ht="20.25" customHeight="1">
      <c r="A269" s="354"/>
      <c r="B269" s="355" t="s">
        <v>1320</v>
      </c>
      <c r="C269" s="356">
        <v>1.0</v>
      </c>
      <c r="D269" s="357">
        <v>1.8</v>
      </c>
      <c r="E269" s="212" t="s">
        <v>1502</v>
      </c>
    </row>
    <row r="270" ht="20.25" customHeight="1">
      <c r="A270" s="294"/>
      <c r="B270" s="287" t="s">
        <v>1322</v>
      </c>
      <c r="C270" s="358">
        <v>1600.0</v>
      </c>
      <c r="D270" s="359">
        <v>2100.0</v>
      </c>
      <c r="E270" s="166" t="s">
        <v>1503</v>
      </c>
    </row>
    <row r="271" ht="20.25" customHeight="1">
      <c r="A271" s="294"/>
      <c r="B271" s="355" t="s">
        <v>1324</v>
      </c>
      <c r="C271" s="360">
        <v>0.0</v>
      </c>
      <c r="D271" s="361">
        <v>1000.0</v>
      </c>
      <c r="E271" s="212" t="s">
        <v>1504</v>
      </c>
    </row>
    <row r="272" ht="20.25" customHeight="1">
      <c r="A272" s="294"/>
      <c r="B272" s="287" t="s">
        <v>1326</v>
      </c>
      <c r="C272" s="352">
        <v>1.4</v>
      </c>
      <c r="D272" s="353">
        <v>1.8</v>
      </c>
      <c r="E272" s="166" t="s">
        <v>1505</v>
      </c>
    </row>
    <row r="273" ht="20.25" customHeight="1">
      <c r="A273" s="294"/>
      <c r="B273" s="355" t="s">
        <v>1328</v>
      </c>
      <c r="C273" s="360">
        <v>587.0</v>
      </c>
      <c r="D273" s="361">
        <v>650.0</v>
      </c>
      <c r="E273" s="212" t="s">
        <v>1329</v>
      </c>
    </row>
    <row r="274" ht="20.25" customHeight="1">
      <c r="A274" s="362"/>
      <c r="B274" s="363" t="s">
        <v>1330</v>
      </c>
      <c r="C274" s="364" t="s">
        <v>1158</v>
      </c>
      <c r="D274" s="365" t="s">
        <v>1267</v>
      </c>
      <c r="E274" s="350" t="s">
        <v>1329</v>
      </c>
    </row>
    <row r="275" ht="20.25" customHeight="1">
      <c r="A275" s="351" t="s">
        <v>959</v>
      </c>
      <c r="B275" s="287" t="s">
        <v>1318</v>
      </c>
      <c r="C275" s="352">
        <v>0.5</v>
      </c>
      <c r="D275" s="353">
        <v>0.8</v>
      </c>
      <c r="E275" s="166" t="s">
        <v>1506</v>
      </c>
    </row>
    <row r="276" ht="20.25" customHeight="1">
      <c r="A276" s="354"/>
      <c r="B276" s="355" t="s">
        <v>1320</v>
      </c>
      <c r="C276" s="356">
        <v>1.0</v>
      </c>
      <c r="D276" s="357">
        <v>1.7</v>
      </c>
      <c r="E276" s="212" t="s">
        <v>1502</v>
      </c>
    </row>
    <row r="277" ht="20.25" customHeight="1">
      <c r="A277" s="294"/>
      <c r="B277" s="287" t="s">
        <v>1322</v>
      </c>
      <c r="C277" s="358">
        <v>1400.0</v>
      </c>
      <c r="D277" s="359">
        <v>2600.0</v>
      </c>
      <c r="E277" s="166" t="s">
        <v>1507</v>
      </c>
    </row>
    <row r="278" ht="20.25" customHeight="1">
      <c r="A278" s="294"/>
      <c r="B278" s="355" t="s">
        <v>1324</v>
      </c>
      <c r="C278" s="360">
        <v>0.0</v>
      </c>
      <c r="D278" s="361">
        <v>1000.0</v>
      </c>
      <c r="E278" s="212" t="s">
        <v>1504</v>
      </c>
    </row>
    <row r="279" ht="20.25" customHeight="1">
      <c r="A279" s="294"/>
      <c r="B279" s="287" t="s">
        <v>1326</v>
      </c>
      <c r="C279" s="352">
        <v>1.6</v>
      </c>
      <c r="D279" s="353">
        <v>2.7</v>
      </c>
      <c r="E279" s="166" t="s">
        <v>1508</v>
      </c>
    </row>
    <row r="280" ht="20.25" customHeight="1">
      <c r="A280" s="294"/>
      <c r="B280" s="355" t="s">
        <v>1328</v>
      </c>
      <c r="C280" s="360">
        <v>587.0</v>
      </c>
      <c r="D280" s="361">
        <v>650.0</v>
      </c>
      <c r="E280" s="212" t="s">
        <v>1329</v>
      </c>
    </row>
    <row r="281" ht="20.25" customHeight="1">
      <c r="A281" s="362"/>
      <c r="B281" s="363" t="s">
        <v>1330</v>
      </c>
      <c r="C281" s="364" t="s">
        <v>1158</v>
      </c>
      <c r="D281" s="365" t="s">
        <v>1267</v>
      </c>
      <c r="E281" s="350" t="s">
        <v>1329</v>
      </c>
    </row>
    <row r="282" ht="20.25" customHeight="1">
      <c r="A282" s="351" t="s">
        <v>968</v>
      </c>
      <c r="B282" s="287" t="s">
        <v>1318</v>
      </c>
      <c r="C282" s="352">
        <v>0.8</v>
      </c>
      <c r="D282" s="353">
        <v>0.9</v>
      </c>
      <c r="E282" s="166" t="s">
        <v>1509</v>
      </c>
    </row>
    <row r="283" ht="20.25" customHeight="1">
      <c r="A283" s="354"/>
      <c r="B283" s="355" t="s">
        <v>1320</v>
      </c>
      <c r="C283" s="356">
        <v>1.6</v>
      </c>
      <c r="D283" s="357">
        <v>2.0</v>
      </c>
      <c r="E283" s="212" t="s">
        <v>1334</v>
      </c>
    </row>
    <row r="284" ht="20.25" customHeight="1">
      <c r="A284" s="294"/>
      <c r="B284" s="287" t="s">
        <v>1322</v>
      </c>
      <c r="C284" s="358">
        <v>1600.0</v>
      </c>
      <c r="D284" s="359">
        <v>2500.0</v>
      </c>
      <c r="E284" s="166" t="s">
        <v>1510</v>
      </c>
    </row>
    <row r="285" ht="20.25" customHeight="1">
      <c r="A285" s="294"/>
      <c r="B285" s="355" t="s">
        <v>1324</v>
      </c>
      <c r="C285" s="360">
        <v>50.0</v>
      </c>
      <c r="D285" s="361">
        <v>1000.0</v>
      </c>
      <c r="E285" s="212" t="s">
        <v>1511</v>
      </c>
    </row>
    <row r="286" ht="20.25" customHeight="1">
      <c r="A286" s="294"/>
      <c r="B286" s="287" t="s">
        <v>1326</v>
      </c>
      <c r="C286" s="352">
        <v>1.0</v>
      </c>
      <c r="D286" s="353">
        <v>2.0</v>
      </c>
      <c r="E286" s="166" t="s">
        <v>1512</v>
      </c>
    </row>
    <row r="287" ht="20.25" customHeight="1">
      <c r="A287" s="294"/>
      <c r="B287" s="355" t="s">
        <v>1328</v>
      </c>
      <c r="C287" s="360">
        <v>569.0</v>
      </c>
      <c r="D287" s="361">
        <v>600.0</v>
      </c>
      <c r="E287" s="212" t="s">
        <v>1329</v>
      </c>
    </row>
    <row r="288" ht="20.25" customHeight="1">
      <c r="A288" s="362"/>
      <c r="B288" s="363" t="s">
        <v>1330</v>
      </c>
      <c r="C288" s="364" t="s">
        <v>1158</v>
      </c>
      <c r="D288" s="365" t="s">
        <v>1267</v>
      </c>
      <c r="E288" s="350" t="s">
        <v>1329</v>
      </c>
    </row>
    <row r="289" ht="20.25" customHeight="1">
      <c r="A289" s="351" t="s">
        <v>1513</v>
      </c>
      <c r="B289" s="287" t="s">
        <v>1318</v>
      </c>
      <c r="C289" s="352">
        <v>0.8</v>
      </c>
      <c r="D289" s="353">
        <v>0.95</v>
      </c>
      <c r="E289" s="166" t="s">
        <v>1514</v>
      </c>
    </row>
    <row r="290" ht="20.25" customHeight="1">
      <c r="A290" s="354"/>
      <c r="B290" s="355" t="s">
        <v>1320</v>
      </c>
      <c r="C290" s="356">
        <v>1.6</v>
      </c>
      <c r="D290" s="357">
        <v>1.9</v>
      </c>
      <c r="E290" s="212" t="s">
        <v>1515</v>
      </c>
    </row>
    <row r="291" ht="20.25" customHeight="1">
      <c r="A291" s="294"/>
      <c r="B291" s="287" t="s">
        <v>1322</v>
      </c>
      <c r="C291" s="358">
        <v>2000.0</v>
      </c>
      <c r="D291" s="359">
        <v>3000.0</v>
      </c>
      <c r="E291" s="166" t="s">
        <v>1516</v>
      </c>
    </row>
    <row r="292" ht="20.25" customHeight="1">
      <c r="A292" s="294"/>
      <c r="B292" s="355" t="s">
        <v>1324</v>
      </c>
      <c r="C292" s="360">
        <v>400.0</v>
      </c>
      <c r="D292" s="361">
        <v>500.0</v>
      </c>
      <c r="E292" s="212" t="s">
        <v>1517</v>
      </c>
    </row>
    <row r="293" ht="20.25" customHeight="1">
      <c r="A293" s="294"/>
      <c r="B293" s="287" t="s">
        <v>1326</v>
      </c>
      <c r="C293" s="352">
        <v>1.3</v>
      </c>
      <c r="D293" s="353">
        <v>1.4</v>
      </c>
      <c r="E293" s="166" t="s">
        <v>1518</v>
      </c>
    </row>
    <row r="294" ht="20.25" customHeight="1">
      <c r="A294" s="294"/>
      <c r="B294" s="355" t="s">
        <v>1328</v>
      </c>
      <c r="C294" s="360">
        <v>828.0</v>
      </c>
      <c r="D294" s="361">
        <v>850.0</v>
      </c>
      <c r="E294" s="212" t="s">
        <v>1329</v>
      </c>
    </row>
    <row r="295" ht="20.25" customHeight="1">
      <c r="A295" s="362"/>
      <c r="B295" s="363" t="s">
        <v>1330</v>
      </c>
      <c r="C295" s="364" t="s">
        <v>1338</v>
      </c>
      <c r="D295" s="365" t="s">
        <v>1331</v>
      </c>
      <c r="E295" s="350" t="s">
        <v>1329</v>
      </c>
    </row>
    <row r="296" ht="20.25" customHeight="1">
      <c r="A296" s="351" t="s">
        <v>974</v>
      </c>
      <c r="B296" s="287" t="s">
        <v>1318</v>
      </c>
      <c r="C296" s="352">
        <v>0.65</v>
      </c>
      <c r="D296" s="353">
        <v>0.8</v>
      </c>
      <c r="E296" s="166" t="s">
        <v>1519</v>
      </c>
    </row>
    <row r="297" ht="20.25" customHeight="1">
      <c r="A297" s="354"/>
      <c r="B297" s="355" t="s">
        <v>1320</v>
      </c>
      <c r="C297" s="356">
        <v>1.3</v>
      </c>
      <c r="D297" s="357">
        <v>1.6</v>
      </c>
      <c r="E297" s="212" t="s">
        <v>1520</v>
      </c>
    </row>
    <row r="298" ht="20.25" customHeight="1">
      <c r="A298" s="294"/>
      <c r="B298" s="287" t="s">
        <v>1322</v>
      </c>
      <c r="C298" s="358">
        <v>1200.0</v>
      </c>
      <c r="D298" s="359">
        <v>1700.0</v>
      </c>
      <c r="E298" s="166" t="s">
        <v>1521</v>
      </c>
    </row>
    <row r="299" ht="20.25" customHeight="1">
      <c r="A299" s="294"/>
      <c r="B299" s="355" t="s">
        <v>1324</v>
      </c>
      <c r="C299" s="360">
        <v>600.0</v>
      </c>
      <c r="D299" s="361">
        <v>1000.0</v>
      </c>
      <c r="E299" s="212" t="s">
        <v>1522</v>
      </c>
    </row>
    <row r="300" ht="20.25" customHeight="1">
      <c r="A300" s="294"/>
      <c r="B300" s="287" t="s">
        <v>1326</v>
      </c>
      <c r="C300" s="352">
        <v>1.1</v>
      </c>
      <c r="D300" s="353">
        <v>1.2</v>
      </c>
      <c r="E300" s="166" t="s">
        <v>1523</v>
      </c>
    </row>
    <row r="301" ht="20.25" customHeight="1">
      <c r="A301" s="294"/>
      <c r="B301" s="355" t="s">
        <v>1328</v>
      </c>
      <c r="C301" s="360">
        <v>560.0</v>
      </c>
      <c r="D301" s="361">
        <v>600.0</v>
      </c>
      <c r="E301" s="212" t="s">
        <v>1329</v>
      </c>
    </row>
    <row r="302" ht="20.25" customHeight="1">
      <c r="A302" s="362"/>
      <c r="B302" s="363" t="s">
        <v>1330</v>
      </c>
      <c r="C302" s="364" t="s">
        <v>425</v>
      </c>
      <c r="D302" s="365" t="s">
        <v>1158</v>
      </c>
      <c r="E302" s="350" t="s">
        <v>1329</v>
      </c>
    </row>
    <row r="303" ht="20.25" customHeight="1">
      <c r="A303" s="351" t="s">
        <v>981</v>
      </c>
      <c r="B303" s="287" t="s">
        <v>1318</v>
      </c>
      <c r="C303" s="352">
        <v>0.85</v>
      </c>
      <c r="D303" s="353">
        <v>0.96</v>
      </c>
      <c r="E303" s="166" t="s">
        <v>1524</v>
      </c>
    </row>
    <row r="304" ht="20.25" customHeight="1">
      <c r="A304" s="354"/>
      <c r="B304" s="355" t="s">
        <v>1320</v>
      </c>
      <c r="C304" s="356">
        <v>1.8</v>
      </c>
      <c r="D304" s="357">
        <v>2.3</v>
      </c>
      <c r="E304" s="212" t="s">
        <v>1321</v>
      </c>
    </row>
    <row r="305" ht="20.25" customHeight="1">
      <c r="A305" s="294"/>
      <c r="B305" s="287" t="s">
        <v>1322</v>
      </c>
      <c r="C305" s="358">
        <v>1700.0</v>
      </c>
      <c r="D305" s="359">
        <v>3000.0</v>
      </c>
      <c r="E305" s="166" t="s">
        <v>1525</v>
      </c>
    </row>
    <row r="306" ht="20.25" customHeight="1">
      <c r="A306" s="294"/>
      <c r="B306" s="355" t="s">
        <v>1324</v>
      </c>
      <c r="C306" s="360">
        <v>0.0</v>
      </c>
      <c r="D306" s="361">
        <v>400.0</v>
      </c>
      <c r="E306" s="212" t="s">
        <v>1526</v>
      </c>
    </row>
    <row r="307" ht="20.25" customHeight="1">
      <c r="A307" s="294"/>
      <c r="B307" s="287" t="s">
        <v>1326</v>
      </c>
      <c r="C307" s="352">
        <v>1.0</v>
      </c>
      <c r="D307" s="353">
        <v>1.2</v>
      </c>
      <c r="E307" s="166" t="s">
        <v>1527</v>
      </c>
    </row>
    <row r="308" ht="20.25" customHeight="1">
      <c r="A308" s="294"/>
      <c r="B308" s="355" t="s">
        <v>1328</v>
      </c>
      <c r="C308" s="360">
        <v>784.0</v>
      </c>
      <c r="D308" s="361">
        <v>800.0</v>
      </c>
      <c r="E308" s="212" t="s">
        <v>1329</v>
      </c>
    </row>
    <row r="309" ht="20.25" customHeight="1">
      <c r="A309" s="362"/>
      <c r="B309" s="363" t="s">
        <v>1330</v>
      </c>
      <c r="C309" s="364" t="s">
        <v>1338</v>
      </c>
      <c r="D309" s="365" t="s">
        <v>1331</v>
      </c>
      <c r="E309" s="350" t="s">
        <v>1329</v>
      </c>
    </row>
    <row r="310" ht="20.25" customHeight="1">
      <c r="A310" s="351" t="s">
        <v>986</v>
      </c>
      <c r="B310" s="287" t="s">
        <v>1318</v>
      </c>
      <c r="C310" s="352">
        <v>0.75</v>
      </c>
      <c r="D310" s="353">
        <v>0.9</v>
      </c>
      <c r="E310" s="166" t="s">
        <v>1528</v>
      </c>
    </row>
    <row r="311" ht="20.25" customHeight="1">
      <c r="A311" s="354"/>
      <c r="B311" s="355" t="s">
        <v>1320</v>
      </c>
      <c r="C311" s="356">
        <v>1.5</v>
      </c>
      <c r="D311" s="357">
        <v>1.8</v>
      </c>
      <c r="E311" s="212" t="s">
        <v>1529</v>
      </c>
    </row>
    <row r="312" ht="20.25" customHeight="1">
      <c r="A312" s="294"/>
      <c r="B312" s="287" t="s">
        <v>1322</v>
      </c>
      <c r="C312" s="358">
        <v>1500.0</v>
      </c>
      <c r="D312" s="359">
        <v>2450.0</v>
      </c>
      <c r="E312" s="166" t="s">
        <v>1530</v>
      </c>
    </row>
    <row r="313" ht="20.25" customHeight="1">
      <c r="A313" s="294"/>
      <c r="B313" s="355" t="s">
        <v>1324</v>
      </c>
      <c r="C313" s="360">
        <v>150.0</v>
      </c>
      <c r="D313" s="361">
        <v>750.0</v>
      </c>
      <c r="E313" s="212" t="s">
        <v>1531</v>
      </c>
    </row>
    <row r="314" ht="20.25" customHeight="1">
      <c r="A314" s="294"/>
      <c r="B314" s="287" t="s">
        <v>1326</v>
      </c>
      <c r="C314" s="352">
        <v>1.2</v>
      </c>
      <c r="D314" s="353">
        <v>1.3</v>
      </c>
      <c r="E314" s="166" t="s">
        <v>1532</v>
      </c>
    </row>
    <row r="315" ht="20.25" customHeight="1">
      <c r="A315" s="294"/>
      <c r="B315" s="355" t="s">
        <v>1328</v>
      </c>
      <c r="C315" s="360">
        <v>859.0</v>
      </c>
      <c r="D315" s="361">
        <v>900.0</v>
      </c>
      <c r="E315" s="212" t="s">
        <v>1329</v>
      </c>
    </row>
    <row r="316" ht="20.25" customHeight="1">
      <c r="A316" s="362"/>
      <c r="B316" s="363" t="s">
        <v>1330</v>
      </c>
      <c r="C316" s="364" t="s">
        <v>588</v>
      </c>
      <c r="D316" s="365" t="s">
        <v>1338</v>
      </c>
      <c r="E316" s="350" t="s">
        <v>1329</v>
      </c>
    </row>
    <row r="317" ht="20.25" customHeight="1">
      <c r="A317" s="351" t="s">
        <v>1028</v>
      </c>
      <c r="B317" s="287" t="s">
        <v>1318</v>
      </c>
      <c r="C317" s="352">
        <v>0.35</v>
      </c>
      <c r="D317" s="353">
        <v>0.35</v>
      </c>
      <c r="E317" s="166" t="s">
        <v>1533</v>
      </c>
    </row>
    <row r="318" ht="20.25" customHeight="1">
      <c r="A318" s="354"/>
      <c r="B318" s="355" t="s">
        <v>1320</v>
      </c>
      <c r="C318" s="356">
        <v>0.5</v>
      </c>
      <c r="D318" s="357">
        <v>0.6</v>
      </c>
      <c r="E318" s="212" t="s">
        <v>1534</v>
      </c>
    </row>
    <row r="319" ht="20.25" customHeight="1">
      <c r="A319" s="294"/>
      <c r="B319" s="287" t="s">
        <v>1322</v>
      </c>
      <c r="C319" s="358">
        <v>1100.0</v>
      </c>
      <c r="D319" s="359">
        <v>1600.0</v>
      </c>
      <c r="E319" s="166" t="s">
        <v>1535</v>
      </c>
    </row>
    <row r="320" ht="20.25" customHeight="1">
      <c r="A320" s="294"/>
      <c r="B320" s="355" t="s">
        <v>1324</v>
      </c>
      <c r="C320" s="360">
        <v>0.0</v>
      </c>
      <c r="D320" s="361">
        <v>1000.0</v>
      </c>
      <c r="E320" s="212" t="s">
        <v>1536</v>
      </c>
    </row>
    <row r="321" ht="20.25" customHeight="1">
      <c r="A321" s="294"/>
      <c r="B321" s="287" t="s">
        <v>1326</v>
      </c>
      <c r="C321" s="352">
        <v>1.3</v>
      </c>
      <c r="D321" s="353">
        <v>2.5</v>
      </c>
      <c r="E321" s="166" t="s">
        <v>1537</v>
      </c>
    </row>
    <row r="322" ht="20.25" customHeight="1">
      <c r="A322" s="294"/>
      <c r="B322" s="355" t="s">
        <v>1328</v>
      </c>
      <c r="C322" s="360">
        <v>723.0</v>
      </c>
      <c r="D322" s="361">
        <v>750.0</v>
      </c>
      <c r="E322" s="212" t="s">
        <v>1329</v>
      </c>
    </row>
    <row r="323" ht="20.25" customHeight="1">
      <c r="A323" s="362"/>
      <c r="B323" s="363" t="s">
        <v>1330</v>
      </c>
      <c r="C323" s="364" t="s">
        <v>901</v>
      </c>
      <c r="D323" s="365" t="s">
        <v>414</v>
      </c>
      <c r="E323" s="350" t="s">
        <v>1538</v>
      </c>
    </row>
    <row r="324" ht="20.25" customHeight="1">
      <c r="A324" s="351" t="s">
        <v>991</v>
      </c>
      <c r="B324" s="287" t="s">
        <v>1318</v>
      </c>
      <c r="C324" s="352">
        <v>0.35</v>
      </c>
      <c r="D324" s="353">
        <v>0.4</v>
      </c>
      <c r="E324" s="166" t="s">
        <v>1539</v>
      </c>
    </row>
    <row r="325" ht="20.25" customHeight="1">
      <c r="A325" s="354"/>
      <c r="B325" s="355" t="s">
        <v>1320</v>
      </c>
      <c r="C325" s="356">
        <v>0.5</v>
      </c>
      <c r="D325" s="357">
        <v>0.6</v>
      </c>
      <c r="E325" s="212" t="s">
        <v>1540</v>
      </c>
    </row>
    <row r="326" ht="20.25" customHeight="1">
      <c r="A326" s="294"/>
      <c r="B326" s="287" t="s">
        <v>1322</v>
      </c>
      <c r="C326" s="358">
        <v>1100.0</v>
      </c>
      <c r="D326" s="359">
        <v>1200.0</v>
      </c>
      <c r="E326" s="166" t="s">
        <v>1541</v>
      </c>
    </row>
    <row r="327" ht="20.25" customHeight="1">
      <c r="A327" s="294"/>
      <c r="B327" s="355" t="s">
        <v>1324</v>
      </c>
      <c r="C327" s="360">
        <v>50.0</v>
      </c>
      <c r="D327" s="361">
        <v>1000.0</v>
      </c>
      <c r="E327" s="212" t="s">
        <v>1511</v>
      </c>
    </row>
    <row r="328" ht="20.25" customHeight="1">
      <c r="A328" s="294"/>
      <c r="B328" s="287" t="s">
        <v>1326</v>
      </c>
      <c r="C328" s="352">
        <v>1.0</v>
      </c>
      <c r="D328" s="353">
        <v>1.4</v>
      </c>
      <c r="E328" s="166" t="s">
        <v>1542</v>
      </c>
    </row>
    <row r="329" ht="20.25" customHeight="1">
      <c r="A329" s="294"/>
      <c r="B329" s="355" t="s">
        <v>1328</v>
      </c>
      <c r="C329" s="360">
        <v>751.0</v>
      </c>
      <c r="D329" s="361">
        <v>800.0</v>
      </c>
      <c r="E329" s="212" t="s">
        <v>1329</v>
      </c>
    </row>
    <row r="330" ht="20.25" customHeight="1">
      <c r="A330" s="362"/>
      <c r="B330" s="363" t="s">
        <v>1330</v>
      </c>
      <c r="C330" s="364" t="s">
        <v>394</v>
      </c>
      <c r="D330" s="365" t="s">
        <v>1426</v>
      </c>
      <c r="E330" s="350" t="s">
        <v>1543</v>
      </c>
    </row>
    <row r="331" ht="20.25" customHeight="1">
      <c r="A331" s="351" t="s">
        <v>996</v>
      </c>
      <c r="B331" s="287" t="s">
        <v>1318</v>
      </c>
      <c r="C331" s="352">
        <v>0.4</v>
      </c>
      <c r="D331" s="353">
        <v>0.75</v>
      </c>
      <c r="E331" s="166" t="s">
        <v>1544</v>
      </c>
    </row>
    <row r="332" ht="20.25" customHeight="1">
      <c r="A332" s="354"/>
      <c r="B332" s="355" t="s">
        <v>1320</v>
      </c>
      <c r="C332" s="356">
        <v>0.8</v>
      </c>
      <c r="D332" s="357">
        <v>1.5</v>
      </c>
      <c r="E332" s="212" t="s">
        <v>1334</v>
      </c>
    </row>
    <row r="333" ht="20.25" customHeight="1">
      <c r="A333" s="294"/>
      <c r="B333" s="287" t="s">
        <v>1322</v>
      </c>
      <c r="C333" s="358">
        <v>1400.0</v>
      </c>
      <c r="D333" s="359">
        <v>2000.0</v>
      </c>
      <c r="E333" s="166" t="s">
        <v>1545</v>
      </c>
    </row>
    <row r="334" ht="20.25" customHeight="1">
      <c r="A334" s="294"/>
      <c r="B334" s="355" t="s">
        <v>1324</v>
      </c>
      <c r="C334" s="360">
        <v>0.0</v>
      </c>
      <c r="D334" s="361">
        <v>200.0</v>
      </c>
      <c r="E334" s="212" t="s">
        <v>1546</v>
      </c>
    </row>
    <row r="335" ht="20.25" customHeight="1">
      <c r="A335" s="294"/>
      <c r="B335" s="287" t="s">
        <v>1326</v>
      </c>
      <c r="C335" s="352">
        <v>1.8</v>
      </c>
      <c r="D335" s="353">
        <v>2.2</v>
      </c>
      <c r="E335" s="166" t="s">
        <v>1547</v>
      </c>
    </row>
    <row r="336" ht="20.25" customHeight="1">
      <c r="A336" s="294"/>
      <c r="B336" s="355" t="s">
        <v>1328</v>
      </c>
      <c r="C336" s="360">
        <v>628.0</v>
      </c>
      <c r="D336" s="361">
        <v>650.0</v>
      </c>
      <c r="E336" s="212" t="s">
        <v>1329</v>
      </c>
    </row>
    <row r="337" ht="20.25" customHeight="1">
      <c r="A337" s="362"/>
      <c r="B337" s="363" t="s">
        <v>1330</v>
      </c>
      <c r="C337" s="364" t="s">
        <v>425</v>
      </c>
      <c r="D337" s="365" t="s">
        <v>1158</v>
      </c>
      <c r="E337" s="350" t="s">
        <v>1329</v>
      </c>
    </row>
    <row r="338" ht="20.25" customHeight="1">
      <c r="A338" s="351" t="s">
        <v>1548</v>
      </c>
      <c r="B338" s="287" t="s">
        <v>1318</v>
      </c>
      <c r="C338" s="352">
        <v>0.5</v>
      </c>
      <c r="D338" s="353">
        <v>0.75</v>
      </c>
      <c r="E338" s="166" t="s">
        <v>1496</v>
      </c>
    </row>
    <row r="339" ht="20.25" customHeight="1">
      <c r="A339" s="354"/>
      <c r="B339" s="355" t="s">
        <v>1320</v>
      </c>
      <c r="C339" s="356">
        <v>1.0</v>
      </c>
      <c r="D339" s="357">
        <v>1.5</v>
      </c>
      <c r="E339" s="212" t="s">
        <v>1497</v>
      </c>
    </row>
    <row r="340" ht="20.25" customHeight="1">
      <c r="A340" s="294"/>
      <c r="B340" s="287" t="s">
        <v>1322</v>
      </c>
      <c r="C340" s="358">
        <v>1750.0</v>
      </c>
      <c r="D340" s="359">
        <v>2200.0</v>
      </c>
      <c r="E340" s="166" t="s">
        <v>1549</v>
      </c>
    </row>
    <row r="341" ht="20.25" customHeight="1">
      <c r="A341" s="294"/>
      <c r="B341" s="355" t="s">
        <v>1324</v>
      </c>
      <c r="C341" s="360">
        <v>0.0</v>
      </c>
      <c r="D341" s="361">
        <v>400.0</v>
      </c>
      <c r="E341" s="212" t="s">
        <v>1550</v>
      </c>
    </row>
    <row r="342" ht="20.25" customHeight="1">
      <c r="A342" s="294"/>
      <c r="B342" s="287" t="s">
        <v>1326</v>
      </c>
      <c r="C342" s="352">
        <v>1.4</v>
      </c>
      <c r="D342" s="353">
        <v>1.7</v>
      </c>
      <c r="E342" s="166" t="s">
        <v>1551</v>
      </c>
    </row>
    <row r="343" ht="20.25" customHeight="1">
      <c r="A343" s="294"/>
      <c r="B343" s="355" t="s">
        <v>1328</v>
      </c>
      <c r="C343" s="360">
        <v>683.0</v>
      </c>
      <c r="D343" s="361">
        <v>700.0</v>
      </c>
      <c r="E343" s="212" t="s">
        <v>1329</v>
      </c>
    </row>
    <row r="344" ht="20.25" customHeight="1">
      <c r="A344" s="362"/>
      <c r="B344" s="363" t="s">
        <v>1330</v>
      </c>
      <c r="C344" s="364" t="s">
        <v>1267</v>
      </c>
      <c r="D344" s="365" t="s">
        <v>588</v>
      </c>
      <c r="E344" s="350" t="s">
        <v>1329</v>
      </c>
    </row>
    <row r="345" ht="20.25" customHeight="1">
      <c r="A345" s="351" t="s">
        <v>1007</v>
      </c>
      <c r="B345" s="287" t="s">
        <v>1318</v>
      </c>
      <c r="C345" s="352">
        <v>0.35</v>
      </c>
      <c r="D345" s="353">
        <v>0.6</v>
      </c>
      <c r="E345" s="166" t="s">
        <v>1552</v>
      </c>
    </row>
    <row r="346" ht="20.25" customHeight="1">
      <c r="A346" s="354"/>
      <c r="B346" s="355" t="s">
        <v>1320</v>
      </c>
      <c r="C346" s="356">
        <v>0.7</v>
      </c>
      <c r="D346" s="357">
        <v>1.2</v>
      </c>
      <c r="E346" s="212" t="s">
        <v>1334</v>
      </c>
    </row>
    <row r="347" ht="20.25" customHeight="1">
      <c r="A347" s="294"/>
      <c r="B347" s="287" t="s">
        <v>1322</v>
      </c>
      <c r="C347" s="358">
        <v>1200.0</v>
      </c>
      <c r="D347" s="359">
        <v>1800.0</v>
      </c>
      <c r="E347" s="166" t="s">
        <v>1553</v>
      </c>
    </row>
    <row r="348" ht="20.25" customHeight="1">
      <c r="A348" s="294"/>
      <c r="B348" s="355" t="s">
        <v>1324</v>
      </c>
      <c r="C348" s="360">
        <v>0.0</v>
      </c>
      <c r="D348" s="361">
        <v>1000.0</v>
      </c>
      <c r="E348" s="212" t="s">
        <v>1554</v>
      </c>
    </row>
    <row r="349" ht="20.25" customHeight="1">
      <c r="A349" s="294"/>
      <c r="B349" s="287" t="s">
        <v>1326</v>
      </c>
      <c r="C349" s="352">
        <v>1.8</v>
      </c>
      <c r="D349" s="353">
        <v>2.0</v>
      </c>
      <c r="E349" s="166" t="s">
        <v>1555</v>
      </c>
    </row>
    <row r="350" ht="20.25" customHeight="1">
      <c r="A350" s="294"/>
      <c r="B350" s="355" t="s">
        <v>1328</v>
      </c>
      <c r="C350" s="360">
        <v>573.0</v>
      </c>
      <c r="D350" s="361">
        <v>600.0</v>
      </c>
      <c r="E350" s="212" t="s">
        <v>1329</v>
      </c>
    </row>
    <row r="351" ht="20.25" customHeight="1">
      <c r="A351" s="362"/>
      <c r="B351" s="363" t="s">
        <v>1330</v>
      </c>
      <c r="C351" s="364" t="s">
        <v>425</v>
      </c>
      <c r="D351" s="365" t="s">
        <v>1158</v>
      </c>
      <c r="E351" s="350" t="s">
        <v>1329</v>
      </c>
    </row>
    <row r="352" ht="20.25" customHeight="1">
      <c r="A352" s="351" t="s">
        <v>1556</v>
      </c>
      <c r="B352" s="287" t="s">
        <v>1318</v>
      </c>
      <c r="C352" s="352">
        <v>0.6</v>
      </c>
      <c r="D352" s="353">
        <v>0.9</v>
      </c>
      <c r="E352" s="166" t="s">
        <v>1557</v>
      </c>
    </row>
    <row r="353" ht="20.25" customHeight="1">
      <c r="A353" s="354"/>
      <c r="B353" s="355" t="s">
        <v>1320</v>
      </c>
      <c r="C353" s="356">
        <v>1.2</v>
      </c>
      <c r="D353" s="357">
        <v>2.0</v>
      </c>
      <c r="E353" s="212" t="s">
        <v>1558</v>
      </c>
    </row>
    <row r="354" ht="20.25" customHeight="1">
      <c r="A354" s="294"/>
      <c r="B354" s="287" t="s">
        <v>1322</v>
      </c>
      <c r="C354" s="358">
        <v>1800.0</v>
      </c>
      <c r="D354" s="359">
        <v>2300.0</v>
      </c>
      <c r="E354" s="166" t="s">
        <v>1559</v>
      </c>
    </row>
    <row r="355" ht="20.25" customHeight="1">
      <c r="A355" s="294"/>
      <c r="B355" s="355" t="s">
        <v>1324</v>
      </c>
      <c r="C355" s="360">
        <v>0.0</v>
      </c>
      <c r="D355" s="361">
        <v>1000.0</v>
      </c>
      <c r="E355" s="212" t="s">
        <v>1560</v>
      </c>
    </row>
    <row r="356" ht="20.25" customHeight="1">
      <c r="A356" s="294"/>
      <c r="B356" s="287" t="s">
        <v>1326</v>
      </c>
      <c r="C356" s="352">
        <v>1.2</v>
      </c>
      <c r="D356" s="353">
        <v>1.3</v>
      </c>
      <c r="E356" s="166" t="s">
        <v>1561</v>
      </c>
    </row>
    <row r="357" ht="20.25" customHeight="1">
      <c r="A357" s="294"/>
      <c r="B357" s="355" t="s">
        <v>1328</v>
      </c>
      <c r="C357" s="360">
        <v>751.0</v>
      </c>
      <c r="D357" s="361">
        <v>800.0</v>
      </c>
      <c r="E357" s="212" t="s">
        <v>1329</v>
      </c>
    </row>
    <row r="358" ht="20.25" customHeight="1">
      <c r="A358" s="362"/>
      <c r="B358" s="363" t="s">
        <v>1330</v>
      </c>
      <c r="C358" s="364" t="s">
        <v>588</v>
      </c>
      <c r="D358" s="365" t="s">
        <v>1338</v>
      </c>
      <c r="E358" s="350" t="s">
        <v>1329</v>
      </c>
    </row>
    <row r="359" ht="20.25" customHeight="1">
      <c r="A359" s="351" t="s">
        <v>1017</v>
      </c>
      <c r="B359" s="287" t="s">
        <v>1318</v>
      </c>
      <c r="C359" s="352">
        <v>0.6</v>
      </c>
      <c r="D359" s="353">
        <v>0.8</v>
      </c>
      <c r="E359" s="166" t="s">
        <v>1562</v>
      </c>
    </row>
    <row r="360" ht="20.25" customHeight="1">
      <c r="A360" s="354"/>
      <c r="B360" s="355" t="s">
        <v>1320</v>
      </c>
      <c r="C360" s="356">
        <v>1.2</v>
      </c>
      <c r="D360" s="357">
        <v>1.6</v>
      </c>
      <c r="E360" s="212" t="s">
        <v>1334</v>
      </c>
    </row>
    <row r="361" ht="20.25" customHeight="1">
      <c r="A361" s="294"/>
      <c r="B361" s="287" t="s">
        <v>1322</v>
      </c>
      <c r="C361" s="358">
        <v>1700.0</v>
      </c>
      <c r="D361" s="359">
        <v>2100.0</v>
      </c>
      <c r="E361" s="166" t="s">
        <v>1563</v>
      </c>
    </row>
    <row r="362" ht="20.25" customHeight="1">
      <c r="A362" s="294"/>
      <c r="B362" s="355" t="s">
        <v>1324</v>
      </c>
      <c r="C362" s="360">
        <v>0.0</v>
      </c>
      <c r="D362" s="361">
        <v>200.0</v>
      </c>
      <c r="E362" s="212" t="s">
        <v>1564</v>
      </c>
    </row>
    <row r="363" ht="20.25" customHeight="1">
      <c r="A363" s="294"/>
      <c r="B363" s="287" t="s">
        <v>1326</v>
      </c>
      <c r="C363" s="352">
        <v>1.1</v>
      </c>
      <c r="D363" s="353">
        <v>1.3</v>
      </c>
      <c r="E363" s="166" t="s">
        <v>1565</v>
      </c>
    </row>
    <row r="364" ht="20.25" customHeight="1">
      <c r="A364" s="294"/>
      <c r="B364" s="355" t="s">
        <v>1328</v>
      </c>
      <c r="C364" s="360">
        <v>594.0</v>
      </c>
      <c r="D364" s="361">
        <v>650.0</v>
      </c>
      <c r="E364" s="212" t="s">
        <v>1329</v>
      </c>
    </row>
    <row r="365" ht="20.25" customHeight="1">
      <c r="A365" s="362"/>
      <c r="B365" s="363" t="s">
        <v>1330</v>
      </c>
      <c r="C365" s="364" t="s">
        <v>425</v>
      </c>
      <c r="D365" s="365" t="s">
        <v>1158</v>
      </c>
      <c r="E365" s="350" t="s">
        <v>1329</v>
      </c>
    </row>
    <row r="366" ht="20.25" customHeight="1">
      <c r="A366" s="351" t="s">
        <v>1022</v>
      </c>
      <c r="B366" s="287" t="s">
        <v>1318</v>
      </c>
      <c r="C366" s="352">
        <v>0.8</v>
      </c>
      <c r="D366" s="353">
        <v>0.95</v>
      </c>
      <c r="E366" s="166" t="s">
        <v>1566</v>
      </c>
    </row>
    <row r="367" ht="20.25" customHeight="1">
      <c r="A367" s="354"/>
      <c r="B367" s="355" t="s">
        <v>1320</v>
      </c>
      <c r="C367" s="356">
        <v>1.6</v>
      </c>
      <c r="D367" s="357">
        <v>2.2</v>
      </c>
      <c r="E367" s="212" t="s">
        <v>1321</v>
      </c>
    </row>
    <row r="368" ht="20.25" customHeight="1">
      <c r="A368" s="294"/>
      <c r="B368" s="287" t="s">
        <v>1322</v>
      </c>
      <c r="C368" s="358">
        <v>1800.0</v>
      </c>
      <c r="D368" s="359">
        <v>2200.0</v>
      </c>
      <c r="E368" s="166" t="s">
        <v>1567</v>
      </c>
    </row>
    <row r="369" ht="20.25" customHeight="1">
      <c r="A369" s="294"/>
      <c r="B369" s="355" t="s">
        <v>1324</v>
      </c>
      <c r="C369" s="360">
        <v>0.0</v>
      </c>
      <c r="D369" s="361">
        <v>600.0</v>
      </c>
      <c r="E369" s="212" t="s">
        <v>1494</v>
      </c>
    </row>
    <row r="370" ht="20.25" customHeight="1">
      <c r="A370" s="294"/>
      <c r="B370" s="287" t="s">
        <v>1326</v>
      </c>
      <c r="C370" s="352">
        <v>1.1</v>
      </c>
      <c r="D370" s="353">
        <v>1.25</v>
      </c>
      <c r="E370" s="166" t="s">
        <v>1568</v>
      </c>
    </row>
    <row r="371" ht="20.25" customHeight="1">
      <c r="A371" s="294"/>
      <c r="B371" s="355" t="s">
        <v>1328</v>
      </c>
      <c r="C371" s="360">
        <v>799.0</v>
      </c>
      <c r="D371" s="361">
        <v>850.0</v>
      </c>
      <c r="E371" s="212" t="s">
        <v>1329</v>
      </c>
    </row>
    <row r="372" ht="20.25" customHeight="1">
      <c r="A372" s="362"/>
      <c r="B372" s="363" t="s">
        <v>1330</v>
      </c>
      <c r="C372" s="364" t="s">
        <v>1338</v>
      </c>
      <c r="D372" s="365" t="s">
        <v>1331</v>
      </c>
      <c r="E372" s="350" t="s">
        <v>1329</v>
      </c>
    </row>
    <row r="373" ht="20.25" customHeight="1">
      <c r="A373" s="366" t="s">
        <v>1117</v>
      </c>
      <c r="B373" s="287" t="s">
        <v>1318</v>
      </c>
      <c r="C373" s="352">
        <v>0.35</v>
      </c>
      <c r="D373" s="353">
        <v>0.8</v>
      </c>
      <c r="E373" s="166" t="s">
        <v>1569</v>
      </c>
    </row>
    <row r="374" ht="20.25" customHeight="1">
      <c r="A374" s="367"/>
      <c r="B374" s="368" t="s">
        <v>1320</v>
      </c>
      <c r="C374" s="369">
        <v>0.5</v>
      </c>
      <c r="D374" s="370">
        <v>1.0</v>
      </c>
      <c r="E374" s="229" t="s">
        <v>1570</v>
      </c>
    </row>
    <row r="375" ht="20.25" customHeight="1">
      <c r="A375" s="294"/>
      <c r="B375" s="287" t="s">
        <v>1322</v>
      </c>
      <c r="C375" s="358">
        <v>2700.0</v>
      </c>
      <c r="D375" s="359">
        <v>4500.0</v>
      </c>
      <c r="E375" s="166" t="s">
        <v>1571</v>
      </c>
    </row>
    <row r="376" ht="20.25" customHeight="1">
      <c r="A376" s="294"/>
      <c r="B376" s="368" t="s">
        <v>1324</v>
      </c>
      <c r="C376" s="371">
        <v>0.0</v>
      </c>
      <c r="D376" s="372">
        <v>0.0</v>
      </c>
      <c r="E376" s="229" t="s">
        <v>1329</v>
      </c>
    </row>
    <row r="377" ht="20.25" customHeight="1">
      <c r="A377" s="294"/>
      <c r="B377" s="287" t="s">
        <v>1326</v>
      </c>
      <c r="C377" s="352">
        <v>1.6</v>
      </c>
      <c r="D377" s="353">
        <v>2.0</v>
      </c>
      <c r="E377" s="166" t="s">
        <v>1572</v>
      </c>
    </row>
    <row r="378" ht="20.25" customHeight="1">
      <c r="A378" s="294"/>
      <c r="B378" s="368" t="s">
        <v>1328</v>
      </c>
      <c r="C378" s="371">
        <v>573.0</v>
      </c>
      <c r="D378" s="372">
        <v>650.0</v>
      </c>
      <c r="E378" s="229" t="s">
        <v>1329</v>
      </c>
    </row>
    <row r="379" ht="20.25" customHeight="1">
      <c r="A379" s="373"/>
      <c r="B379" s="374" t="s">
        <v>1330</v>
      </c>
      <c r="C379" s="375" t="s">
        <v>1267</v>
      </c>
      <c r="D379" s="376" t="s">
        <v>588</v>
      </c>
      <c r="E379" s="350" t="s">
        <v>1329</v>
      </c>
    </row>
    <row r="380" ht="20.25" customHeight="1">
      <c r="A380" s="366" t="s">
        <v>1140</v>
      </c>
      <c r="B380" s="287" t="s">
        <v>1318</v>
      </c>
      <c r="C380" s="352">
        <v>0.35</v>
      </c>
      <c r="D380" s="353">
        <v>0.65</v>
      </c>
      <c r="E380" s="166" t="s">
        <v>1573</v>
      </c>
    </row>
    <row r="381" ht="20.25" customHeight="1">
      <c r="A381" s="367"/>
      <c r="B381" s="368" t="s">
        <v>1320</v>
      </c>
      <c r="C381" s="369">
        <v>0.5</v>
      </c>
      <c r="D381" s="370">
        <v>1.4</v>
      </c>
      <c r="E381" s="229" t="s">
        <v>1334</v>
      </c>
    </row>
    <row r="382" ht="20.25" customHeight="1">
      <c r="A382" s="294"/>
      <c r="B382" s="287" t="s">
        <v>1322</v>
      </c>
      <c r="C382" s="358">
        <v>1400.0</v>
      </c>
      <c r="D382" s="359">
        <v>2000.0</v>
      </c>
      <c r="E382" s="166" t="s">
        <v>1574</v>
      </c>
    </row>
    <row r="383" ht="20.25" customHeight="1">
      <c r="A383" s="294"/>
      <c r="B383" s="368" t="s">
        <v>1324</v>
      </c>
      <c r="C383" s="371">
        <v>0.0</v>
      </c>
      <c r="D383" s="372">
        <v>200.0</v>
      </c>
      <c r="E383" s="229" t="s">
        <v>1575</v>
      </c>
    </row>
    <row r="384" ht="20.25" customHeight="1">
      <c r="A384" s="294"/>
      <c r="B384" s="287" t="s">
        <v>1326</v>
      </c>
      <c r="C384" s="352">
        <v>1.6</v>
      </c>
      <c r="D384" s="353">
        <v>2.0</v>
      </c>
      <c r="E384" s="166" t="s">
        <v>1576</v>
      </c>
    </row>
    <row r="385" ht="20.25" customHeight="1">
      <c r="A385" s="294"/>
      <c r="B385" s="368" t="s">
        <v>1328</v>
      </c>
      <c r="C385" s="371">
        <v>669.0</v>
      </c>
      <c r="D385" s="372">
        <v>700.0</v>
      </c>
      <c r="E385" s="229" t="s">
        <v>1329</v>
      </c>
    </row>
    <row r="386" ht="20.25" customHeight="1">
      <c r="A386" s="373"/>
      <c r="B386" s="374" t="s">
        <v>1330</v>
      </c>
      <c r="C386" s="375" t="s">
        <v>1158</v>
      </c>
      <c r="D386" s="376" t="s">
        <v>1267</v>
      </c>
      <c r="E386" s="350" t="s">
        <v>1329</v>
      </c>
    </row>
    <row r="387" ht="20.25" customHeight="1">
      <c r="A387" s="366" t="s">
        <v>1148</v>
      </c>
      <c r="B387" s="287" t="s">
        <v>1318</v>
      </c>
      <c r="C387" s="352">
        <v>0.35</v>
      </c>
      <c r="D387" s="353">
        <v>0.8</v>
      </c>
      <c r="E387" s="166" t="s">
        <v>1577</v>
      </c>
    </row>
    <row r="388" ht="20.25" customHeight="1">
      <c r="A388" s="367"/>
      <c r="B388" s="368" t="s">
        <v>1320</v>
      </c>
      <c r="C388" s="369">
        <v>1.0</v>
      </c>
      <c r="D388" s="370">
        <v>1.8</v>
      </c>
      <c r="E388" s="229" t="s">
        <v>1334</v>
      </c>
    </row>
    <row r="389" ht="20.25" customHeight="1">
      <c r="A389" s="294"/>
      <c r="B389" s="287" t="s">
        <v>1322</v>
      </c>
      <c r="C389" s="358">
        <v>1400.0</v>
      </c>
      <c r="D389" s="359">
        <v>1900.0</v>
      </c>
      <c r="E389" s="166" t="s">
        <v>1578</v>
      </c>
    </row>
    <row r="390" ht="20.25" customHeight="1">
      <c r="A390" s="294"/>
      <c r="B390" s="368" t="s">
        <v>1324</v>
      </c>
      <c r="C390" s="371">
        <v>400.0</v>
      </c>
      <c r="D390" s="372">
        <v>1000.0</v>
      </c>
      <c r="E390" s="229" t="s">
        <v>1579</v>
      </c>
    </row>
    <row r="391" ht="20.25" customHeight="1">
      <c r="A391" s="294"/>
      <c r="B391" s="287" t="s">
        <v>1326</v>
      </c>
      <c r="C391" s="352">
        <v>1.0</v>
      </c>
      <c r="D391" s="353">
        <v>1.5</v>
      </c>
      <c r="E391" s="166" t="s">
        <v>1580</v>
      </c>
    </row>
    <row r="392" ht="20.25" customHeight="1">
      <c r="A392" s="294"/>
      <c r="B392" s="368" t="s">
        <v>1328</v>
      </c>
      <c r="C392" s="371">
        <v>605.0</v>
      </c>
      <c r="D392" s="372">
        <v>650.0</v>
      </c>
      <c r="E392" s="229" t="s">
        <v>1329</v>
      </c>
    </row>
    <row r="393" ht="20.25" customHeight="1">
      <c r="A393" s="373"/>
      <c r="B393" s="374" t="s">
        <v>1330</v>
      </c>
      <c r="C393" s="375" t="s">
        <v>1158</v>
      </c>
      <c r="D393" s="376" t="s">
        <v>1267</v>
      </c>
      <c r="E393" s="350" t="s">
        <v>1329</v>
      </c>
    </row>
    <row r="394" ht="20.25" customHeight="1">
      <c r="A394" s="366" t="s">
        <v>1132</v>
      </c>
      <c r="B394" s="287" t="s">
        <v>1318</v>
      </c>
      <c r="C394" s="352">
        <v>0.35</v>
      </c>
      <c r="D394" s="353">
        <v>0.5</v>
      </c>
      <c r="E394" s="166" t="s">
        <v>1355</v>
      </c>
    </row>
    <row r="395" ht="20.25" customHeight="1">
      <c r="A395" s="367"/>
      <c r="B395" s="368" t="s">
        <v>1320</v>
      </c>
      <c r="C395" s="369">
        <v>0.5</v>
      </c>
      <c r="D395" s="370">
        <v>1.0</v>
      </c>
      <c r="E395" s="229" t="s">
        <v>1334</v>
      </c>
    </row>
    <row r="396" ht="20.25" customHeight="1">
      <c r="A396" s="294"/>
      <c r="B396" s="287" t="s">
        <v>1322</v>
      </c>
      <c r="C396" s="358">
        <v>1100.0</v>
      </c>
      <c r="D396" s="359">
        <v>1400.0</v>
      </c>
      <c r="E396" s="166" t="s">
        <v>1581</v>
      </c>
    </row>
    <row r="397" ht="20.25" customHeight="1">
      <c r="A397" s="294"/>
      <c r="B397" s="368" t="s">
        <v>1324</v>
      </c>
      <c r="C397" s="371">
        <v>850.0</v>
      </c>
      <c r="D397" s="372">
        <v>1300.0</v>
      </c>
      <c r="E397" s="229" t="s">
        <v>1582</v>
      </c>
    </row>
    <row r="398" ht="20.25" customHeight="1">
      <c r="A398" s="294"/>
      <c r="B398" s="287" t="s">
        <v>1326</v>
      </c>
      <c r="C398" s="352">
        <v>1.2</v>
      </c>
      <c r="D398" s="353">
        <v>1.7</v>
      </c>
      <c r="E398" s="166" t="s">
        <v>1583</v>
      </c>
    </row>
    <row r="399" ht="20.25" customHeight="1">
      <c r="A399" s="294"/>
      <c r="B399" s="368" t="s">
        <v>1328</v>
      </c>
      <c r="C399" s="371">
        <v>757.0</v>
      </c>
      <c r="D399" s="372">
        <v>800.0</v>
      </c>
      <c r="E399" s="229" t="s">
        <v>1329</v>
      </c>
    </row>
    <row r="400" ht="20.25" customHeight="1">
      <c r="A400" s="373"/>
      <c r="B400" s="374" t="s">
        <v>1330</v>
      </c>
      <c r="C400" s="375" t="s">
        <v>588</v>
      </c>
      <c r="D400" s="376" t="s">
        <v>1584</v>
      </c>
      <c r="E400" s="350" t="s">
        <v>1329</v>
      </c>
    </row>
    <row r="401" ht="20.25" customHeight="1">
      <c r="A401" s="366" t="s">
        <v>1126</v>
      </c>
      <c r="B401" s="287" t="s">
        <v>1318</v>
      </c>
      <c r="C401" s="352">
        <v>0.35</v>
      </c>
      <c r="D401" s="353">
        <v>0.7</v>
      </c>
      <c r="E401" s="166" t="s">
        <v>1585</v>
      </c>
    </row>
    <row r="402" ht="20.25" customHeight="1">
      <c r="A402" s="367"/>
      <c r="B402" s="368" t="s">
        <v>1320</v>
      </c>
      <c r="C402" s="369">
        <v>0.7</v>
      </c>
      <c r="D402" s="370">
        <v>2.0</v>
      </c>
      <c r="E402" s="229" t="s">
        <v>1586</v>
      </c>
    </row>
    <row r="403" ht="20.25" customHeight="1">
      <c r="A403" s="294"/>
      <c r="B403" s="287" t="s">
        <v>1322</v>
      </c>
      <c r="C403" s="358">
        <v>1700.0</v>
      </c>
      <c r="D403" s="359">
        <v>2300.0</v>
      </c>
      <c r="E403" s="166" t="s">
        <v>1587</v>
      </c>
    </row>
    <row r="404" ht="20.25" customHeight="1">
      <c r="A404" s="294"/>
      <c r="B404" s="368" t="s">
        <v>1324</v>
      </c>
      <c r="C404" s="371">
        <v>200.0</v>
      </c>
      <c r="D404" s="372">
        <v>1000.0</v>
      </c>
      <c r="E404" s="229" t="s">
        <v>1588</v>
      </c>
    </row>
    <row r="405" ht="20.25" customHeight="1">
      <c r="A405" s="294"/>
      <c r="B405" s="287" t="s">
        <v>1326</v>
      </c>
      <c r="C405" s="352">
        <v>1.3</v>
      </c>
      <c r="D405" s="353">
        <v>1.6</v>
      </c>
      <c r="E405" s="166" t="s">
        <v>1589</v>
      </c>
    </row>
    <row r="406" ht="20.25" customHeight="1">
      <c r="A406" s="294"/>
      <c r="B406" s="368" t="s">
        <v>1328</v>
      </c>
      <c r="C406" s="371">
        <v>580.0</v>
      </c>
      <c r="D406" s="372">
        <v>600.0</v>
      </c>
      <c r="E406" s="229" t="s">
        <v>1329</v>
      </c>
    </row>
    <row r="407" ht="20.25" customHeight="1">
      <c r="A407" s="373"/>
      <c r="B407" s="374" t="s">
        <v>1330</v>
      </c>
      <c r="C407" s="375" t="s">
        <v>425</v>
      </c>
      <c r="D407" s="376" t="s">
        <v>1158</v>
      </c>
      <c r="E407" s="350" t="s">
        <v>1329</v>
      </c>
    </row>
    <row r="408" ht="20.25" customHeight="1">
      <c r="A408" s="366" t="s">
        <v>1049</v>
      </c>
      <c r="B408" s="287" t="s">
        <v>1318</v>
      </c>
      <c r="C408" s="352">
        <v>0.9</v>
      </c>
      <c r="D408" s="353">
        <v>0.96</v>
      </c>
      <c r="E408" s="166" t="s">
        <v>1590</v>
      </c>
    </row>
    <row r="409" ht="20.25" customHeight="1">
      <c r="A409" s="367"/>
      <c r="B409" s="368" t="s">
        <v>1320</v>
      </c>
      <c r="C409" s="369">
        <v>2.0</v>
      </c>
      <c r="D409" s="370">
        <v>2.8</v>
      </c>
      <c r="E409" s="229" t="s">
        <v>1591</v>
      </c>
    </row>
    <row r="410" ht="20.25" customHeight="1">
      <c r="A410" s="294"/>
      <c r="B410" s="287" t="s">
        <v>1322</v>
      </c>
      <c r="C410" s="358">
        <v>2200.0</v>
      </c>
      <c r="D410" s="359">
        <v>2800.0</v>
      </c>
      <c r="E410" s="166" t="s">
        <v>1592</v>
      </c>
    </row>
    <row r="411" ht="20.25" customHeight="1">
      <c r="A411" s="294"/>
      <c r="B411" s="368" t="s">
        <v>1324</v>
      </c>
      <c r="C411" s="371">
        <v>0.0</v>
      </c>
      <c r="D411" s="372">
        <v>150.0</v>
      </c>
      <c r="E411" s="229" t="s">
        <v>1593</v>
      </c>
    </row>
    <row r="412" ht="20.25" customHeight="1">
      <c r="A412" s="294"/>
      <c r="B412" s="287" t="s">
        <v>1326</v>
      </c>
      <c r="C412" s="352">
        <v>1.0</v>
      </c>
      <c r="D412" s="353">
        <v>1.25</v>
      </c>
      <c r="E412" s="166" t="s">
        <v>1594</v>
      </c>
    </row>
    <row r="413" ht="20.25" customHeight="1">
      <c r="A413" s="294"/>
      <c r="B413" s="368" t="s">
        <v>1328</v>
      </c>
      <c r="C413" s="371">
        <v>615.0</v>
      </c>
      <c r="D413" s="372">
        <v>650.0</v>
      </c>
      <c r="E413" s="229" t="s">
        <v>1329</v>
      </c>
    </row>
    <row r="414" ht="20.25" customHeight="1">
      <c r="A414" s="373"/>
      <c r="B414" s="374" t="s">
        <v>1330</v>
      </c>
      <c r="C414" s="375" t="s">
        <v>1158</v>
      </c>
      <c r="D414" s="376" t="s">
        <v>1267</v>
      </c>
      <c r="E414" s="350" t="s">
        <v>1329</v>
      </c>
    </row>
    <row r="415" ht="20.25" customHeight="1">
      <c r="A415" s="366" t="s">
        <v>1057</v>
      </c>
      <c r="B415" s="287" t="s">
        <v>1318</v>
      </c>
      <c r="C415" s="352">
        <v>0.4</v>
      </c>
      <c r="D415" s="353">
        <v>0.75</v>
      </c>
      <c r="E415" s="166" t="s">
        <v>1595</v>
      </c>
    </row>
    <row r="416" ht="20.25" customHeight="1">
      <c r="A416" s="367"/>
      <c r="B416" s="368" t="s">
        <v>1320</v>
      </c>
      <c r="C416" s="369">
        <v>1.0</v>
      </c>
      <c r="D416" s="370">
        <v>2.0</v>
      </c>
      <c r="E416" s="229" t="s">
        <v>1596</v>
      </c>
    </row>
    <row r="417" ht="20.25" customHeight="1">
      <c r="A417" s="294"/>
      <c r="B417" s="287" t="s">
        <v>1322</v>
      </c>
      <c r="C417" s="358">
        <v>1800.0</v>
      </c>
      <c r="D417" s="359">
        <v>2300.0</v>
      </c>
      <c r="E417" s="166" t="s">
        <v>1597</v>
      </c>
    </row>
    <row r="418" ht="20.25" customHeight="1">
      <c r="A418" s="294"/>
      <c r="B418" s="368" t="s">
        <v>1324</v>
      </c>
      <c r="C418" s="371">
        <v>0.0</v>
      </c>
      <c r="D418" s="372">
        <v>50.0</v>
      </c>
      <c r="E418" s="229" t="s">
        <v>1598</v>
      </c>
    </row>
    <row r="419" ht="20.25" customHeight="1">
      <c r="A419" s="294"/>
      <c r="B419" s="287" t="s">
        <v>1326</v>
      </c>
      <c r="C419" s="352">
        <v>1.2</v>
      </c>
      <c r="D419" s="353">
        <v>1.6</v>
      </c>
      <c r="E419" s="166" t="s">
        <v>1589</v>
      </c>
    </row>
    <row r="420" ht="20.25" customHeight="1">
      <c r="A420" s="294"/>
      <c r="B420" s="368" t="s">
        <v>1328</v>
      </c>
      <c r="C420" s="371">
        <v>712.0</v>
      </c>
      <c r="D420" s="372">
        <v>750.0</v>
      </c>
      <c r="E420" s="229" t="s">
        <v>1329</v>
      </c>
    </row>
    <row r="421" ht="20.25" customHeight="1">
      <c r="A421" s="373"/>
      <c r="B421" s="374" t="s">
        <v>1330</v>
      </c>
      <c r="C421" s="375" t="s">
        <v>588</v>
      </c>
      <c r="D421" s="376" t="s">
        <v>1338</v>
      </c>
      <c r="E421" s="350" t="s">
        <v>1329</v>
      </c>
    </row>
    <row r="422" ht="20.25" customHeight="1">
      <c r="A422" s="366" t="s">
        <v>1062</v>
      </c>
      <c r="B422" s="287" t="s">
        <v>1318</v>
      </c>
      <c r="C422" s="352">
        <v>0.8</v>
      </c>
      <c r="D422" s="353">
        <v>0.95</v>
      </c>
      <c r="E422" s="166" t="s">
        <v>1599</v>
      </c>
    </row>
    <row r="423" ht="20.25" customHeight="1">
      <c r="A423" s="367"/>
      <c r="B423" s="368" t="s">
        <v>1320</v>
      </c>
      <c r="C423" s="369">
        <v>1.7</v>
      </c>
      <c r="D423" s="370">
        <v>2.1</v>
      </c>
      <c r="E423" s="229" t="s">
        <v>1600</v>
      </c>
    </row>
    <row r="424" ht="20.25" customHeight="1">
      <c r="A424" s="294"/>
      <c r="B424" s="287" t="s">
        <v>1322</v>
      </c>
      <c r="C424" s="358">
        <v>1800.0</v>
      </c>
      <c r="D424" s="359">
        <v>2700.0</v>
      </c>
      <c r="E424" s="166" t="s">
        <v>1601</v>
      </c>
    </row>
    <row r="425" ht="20.25" customHeight="1">
      <c r="A425" s="294"/>
      <c r="B425" s="368" t="s">
        <v>1324</v>
      </c>
      <c r="C425" s="371">
        <v>0.0</v>
      </c>
      <c r="D425" s="372">
        <v>50.0</v>
      </c>
      <c r="E425" s="229" t="s">
        <v>1602</v>
      </c>
    </row>
    <row r="426" ht="20.25" customHeight="1">
      <c r="A426" s="294"/>
      <c r="B426" s="287" t="s">
        <v>1326</v>
      </c>
      <c r="C426" s="352">
        <v>1.0</v>
      </c>
      <c r="D426" s="353">
        <v>1.2</v>
      </c>
      <c r="E426" s="166" t="s">
        <v>1603</v>
      </c>
    </row>
    <row r="427" ht="20.25" customHeight="1">
      <c r="A427" s="294"/>
      <c r="B427" s="368" t="s">
        <v>1328</v>
      </c>
      <c r="C427" s="371">
        <v>607.0</v>
      </c>
      <c r="D427" s="372">
        <v>650.0</v>
      </c>
      <c r="E427" s="229" t="s">
        <v>1329</v>
      </c>
    </row>
    <row r="428" ht="20.25" customHeight="1">
      <c r="A428" s="373"/>
      <c r="B428" s="374" t="s">
        <v>1330</v>
      </c>
      <c r="C428" s="375" t="s">
        <v>1158</v>
      </c>
      <c r="D428" s="376" t="s">
        <v>1267</v>
      </c>
      <c r="E428" s="350" t="s">
        <v>1329</v>
      </c>
    </row>
    <row r="429" ht="20.25" customHeight="1">
      <c r="A429" s="366" t="s">
        <v>1068</v>
      </c>
      <c r="B429" s="287" t="s">
        <v>1318</v>
      </c>
      <c r="C429" s="352">
        <v>0.5</v>
      </c>
      <c r="D429" s="353">
        <v>0.75</v>
      </c>
      <c r="E429" s="166" t="s">
        <v>1604</v>
      </c>
    </row>
    <row r="430" ht="20.25" customHeight="1">
      <c r="A430" s="367"/>
      <c r="B430" s="368" t="s">
        <v>1320</v>
      </c>
      <c r="C430" s="369">
        <v>1.0</v>
      </c>
      <c r="D430" s="370">
        <v>1.8</v>
      </c>
      <c r="E430" s="229" t="s">
        <v>1605</v>
      </c>
    </row>
    <row r="431" ht="20.25" customHeight="1">
      <c r="A431" s="294"/>
      <c r="B431" s="287" t="s">
        <v>1322</v>
      </c>
      <c r="C431" s="358">
        <v>1300.0</v>
      </c>
      <c r="D431" s="359">
        <v>1600.0</v>
      </c>
      <c r="E431" s="166" t="s">
        <v>1606</v>
      </c>
    </row>
    <row r="432" ht="20.25" customHeight="1">
      <c r="A432" s="294"/>
      <c r="B432" s="368" t="s">
        <v>1324</v>
      </c>
      <c r="C432" s="371">
        <v>0.0</v>
      </c>
      <c r="D432" s="372">
        <v>50.0</v>
      </c>
      <c r="E432" s="229" t="s">
        <v>1602</v>
      </c>
    </row>
    <row r="433" ht="20.25" customHeight="1">
      <c r="A433" s="294"/>
      <c r="B433" s="287" t="s">
        <v>1326</v>
      </c>
      <c r="C433" s="352">
        <v>1.8</v>
      </c>
      <c r="D433" s="353">
        <v>2.5</v>
      </c>
      <c r="E433" s="166" t="s">
        <v>1607</v>
      </c>
    </row>
    <row r="434" ht="20.25" customHeight="1">
      <c r="A434" s="294"/>
      <c r="B434" s="368" t="s">
        <v>1328</v>
      </c>
      <c r="C434" s="371">
        <v>628.0</v>
      </c>
      <c r="D434" s="372">
        <v>650.0</v>
      </c>
      <c r="E434" s="229" t="s">
        <v>1329</v>
      </c>
    </row>
    <row r="435" ht="20.25" customHeight="1">
      <c r="A435" s="373"/>
      <c r="B435" s="374" t="s">
        <v>1330</v>
      </c>
      <c r="C435" s="375" t="s">
        <v>425</v>
      </c>
      <c r="D435" s="376" t="s">
        <v>1158</v>
      </c>
      <c r="E435" s="350" t="s">
        <v>1329</v>
      </c>
    </row>
    <row r="436" ht="20.25" customHeight="1">
      <c r="A436" s="366" t="s">
        <v>1075</v>
      </c>
      <c r="B436" s="287" t="s">
        <v>1318</v>
      </c>
      <c r="C436" s="352">
        <v>0.5</v>
      </c>
      <c r="D436" s="353">
        <v>0.75</v>
      </c>
      <c r="E436" s="166" t="s">
        <v>1604</v>
      </c>
    </row>
    <row r="437" ht="20.25" customHeight="1">
      <c r="A437" s="367"/>
      <c r="B437" s="368" t="s">
        <v>1320</v>
      </c>
      <c r="C437" s="369">
        <v>1.0</v>
      </c>
      <c r="D437" s="370">
        <v>1.8</v>
      </c>
      <c r="E437" s="229" t="s">
        <v>1608</v>
      </c>
    </row>
    <row r="438" ht="20.25" customHeight="1">
      <c r="A438" s="294"/>
      <c r="B438" s="287" t="s">
        <v>1322</v>
      </c>
      <c r="C438" s="358">
        <v>1600.0</v>
      </c>
      <c r="D438" s="359">
        <v>2200.0</v>
      </c>
      <c r="E438" s="166" t="s">
        <v>1609</v>
      </c>
    </row>
    <row r="439" ht="20.25" customHeight="1">
      <c r="A439" s="294"/>
      <c r="B439" s="368" t="s">
        <v>1324</v>
      </c>
      <c r="C439" s="371">
        <v>0.0</v>
      </c>
      <c r="D439" s="372">
        <v>900.0</v>
      </c>
      <c r="E439" s="229" t="s">
        <v>1610</v>
      </c>
    </row>
    <row r="440" ht="20.25" customHeight="1">
      <c r="A440" s="294"/>
      <c r="B440" s="287" t="s">
        <v>1326</v>
      </c>
      <c r="C440" s="352">
        <v>1.3</v>
      </c>
      <c r="D440" s="353">
        <v>1.5</v>
      </c>
      <c r="E440" s="166" t="s">
        <v>1611</v>
      </c>
    </row>
    <row r="441" ht="20.25" customHeight="1">
      <c r="A441" s="294"/>
      <c r="B441" s="368" t="s">
        <v>1328</v>
      </c>
      <c r="C441" s="371">
        <v>684.0</v>
      </c>
      <c r="D441" s="372">
        <v>700.0</v>
      </c>
      <c r="E441" s="229" t="s">
        <v>1329</v>
      </c>
    </row>
    <row r="442" ht="20.25" customHeight="1">
      <c r="A442" s="373"/>
      <c r="B442" s="374" t="s">
        <v>1330</v>
      </c>
      <c r="C442" s="375" t="s">
        <v>1158</v>
      </c>
      <c r="D442" s="376" t="s">
        <v>1267</v>
      </c>
      <c r="E442" s="350" t="s">
        <v>1329</v>
      </c>
    </row>
    <row r="443" ht="20.25" customHeight="1">
      <c r="A443" s="366" t="s">
        <v>1081</v>
      </c>
      <c r="B443" s="287" t="s">
        <v>1318</v>
      </c>
      <c r="C443" s="352">
        <v>0.35</v>
      </c>
      <c r="D443" s="353">
        <v>0.5</v>
      </c>
      <c r="E443" s="166" t="s">
        <v>1612</v>
      </c>
    </row>
    <row r="444" ht="20.25" customHeight="1">
      <c r="A444" s="367"/>
      <c r="B444" s="368" t="s">
        <v>1320</v>
      </c>
      <c r="C444" s="369">
        <v>0.5</v>
      </c>
      <c r="D444" s="370">
        <v>1.0</v>
      </c>
      <c r="E444" s="229" t="s">
        <v>1613</v>
      </c>
    </row>
    <row r="445" ht="20.25" customHeight="1">
      <c r="A445" s="294"/>
      <c r="B445" s="287" t="s">
        <v>1322</v>
      </c>
      <c r="C445" s="358">
        <v>1300.0</v>
      </c>
      <c r="D445" s="359">
        <v>1800.0</v>
      </c>
      <c r="E445" s="166" t="s">
        <v>1614</v>
      </c>
    </row>
    <row r="446" ht="20.25" customHeight="1">
      <c r="A446" s="294"/>
      <c r="B446" s="368" t="s">
        <v>1324</v>
      </c>
      <c r="C446" s="371">
        <v>150.0</v>
      </c>
      <c r="D446" s="372">
        <v>1000.0</v>
      </c>
      <c r="E446" s="229" t="s">
        <v>1615</v>
      </c>
    </row>
    <row r="447" ht="20.25" customHeight="1">
      <c r="A447" s="294"/>
      <c r="B447" s="287" t="s">
        <v>1326</v>
      </c>
      <c r="C447" s="352">
        <v>1.3</v>
      </c>
      <c r="D447" s="353">
        <v>2.5</v>
      </c>
      <c r="E447" s="166" t="s">
        <v>1616</v>
      </c>
    </row>
    <row r="448" ht="20.25" customHeight="1">
      <c r="A448" s="294"/>
      <c r="B448" s="368" t="s">
        <v>1328</v>
      </c>
      <c r="C448" s="371">
        <v>745.0</v>
      </c>
      <c r="D448" s="372">
        <v>800.0</v>
      </c>
      <c r="E448" s="229" t="s">
        <v>1329</v>
      </c>
    </row>
    <row r="449" ht="20.25" customHeight="1">
      <c r="A449" s="373"/>
      <c r="B449" s="374" t="s">
        <v>1330</v>
      </c>
      <c r="C449" s="375" t="s">
        <v>588</v>
      </c>
      <c r="D449" s="376" t="s">
        <v>1338</v>
      </c>
      <c r="E449" s="350" t="s">
        <v>1329</v>
      </c>
    </row>
    <row r="450" ht="20.25" customHeight="1">
      <c r="A450" s="366" t="s">
        <v>1089</v>
      </c>
      <c r="B450" s="287" t="s">
        <v>1318</v>
      </c>
      <c r="C450" s="352">
        <v>0.35</v>
      </c>
      <c r="D450" s="353">
        <v>0.5</v>
      </c>
      <c r="E450" s="166" t="s">
        <v>1355</v>
      </c>
    </row>
    <row r="451" ht="20.25" customHeight="1">
      <c r="A451" s="367"/>
      <c r="B451" s="368" t="s">
        <v>1320</v>
      </c>
      <c r="C451" s="369">
        <v>0.5</v>
      </c>
      <c r="D451" s="370">
        <v>1.0</v>
      </c>
      <c r="E451" s="229" t="s">
        <v>1334</v>
      </c>
    </row>
    <row r="452" ht="20.25" customHeight="1">
      <c r="A452" s="294"/>
      <c r="B452" s="287" t="s">
        <v>1322</v>
      </c>
      <c r="C452" s="358">
        <v>1300.0</v>
      </c>
      <c r="D452" s="359">
        <v>1800.0</v>
      </c>
      <c r="E452" s="166" t="s">
        <v>1617</v>
      </c>
    </row>
    <row r="453" ht="20.25" customHeight="1">
      <c r="A453" s="294"/>
      <c r="B453" s="368" t="s">
        <v>1324</v>
      </c>
      <c r="C453" s="371">
        <v>800.0</v>
      </c>
      <c r="D453" s="372">
        <v>1000.0</v>
      </c>
      <c r="E453" s="229" t="s">
        <v>1618</v>
      </c>
    </row>
    <row r="454" ht="20.25" customHeight="1">
      <c r="A454" s="294"/>
      <c r="B454" s="287" t="s">
        <v>1326</v>
      </c>
      <c r="C454" s="352">
        <v>1.3</v>
      </c>
      <c r="D454" s="353">
        <v>2.2</v>
      </c>
      <c r="E454" s="166" t="s">
        <v>1619</v>
      </c>
    </row>
    <row r="455" ht="20.25" customHeight="1">
      <c r="A455" s="294"/>
      <c r="B455" s="368" t="s">
        <v>1328</v>
      </c>
      <c r="C455" s="371">
        <v>807.0</v>
      </c>
      <c r="D455" s="372">
        <v>850.0</v>
      </c>
      <c r="E455" s="229" t="s">
        <v>1329</v>
      </c>
    </row>
    <row r="456" ht="20.25" customHeight="1">
      <c r="A456" s="373"/>
      <c r="B456" s="374" t="s">
        <v>1330</v>
      </c>
      <c r="C456" s="375" t="s">
        <v>588</v>
      </c>
      <c r="D456" s="376" t="s">
        <v>1338</v>
      </c>
      <c r="E456" s="350" t="s">
        <v>1329</v>
      </c>
    </row>
    <row r="457" ht="20.25" customHeight="1">
      <c r="A457" s="366" t="s">
        <v>1095</v>
      </c>
      <c r="B457" s="287" t="s">
        <v>1318</v>
      </c>
      <c r="C457" s="352">
        <v>0.8</v>
      </c>
      <c r="D457" s="353">
        <v>0.95</v>
      </c>
      <c r="E457" s="166" t="s">
        <v>1620</v>
      </c>
    </row>
    <row r="458" ht="20.25" customHeight="1">
      <c r="A458" s="367"/>
      <c r="B458" s="368" t="s">
        <v>1320</v>
      </c>
      <c r="C458" s="369">
        <v>1.7</v>
      </c>
      <c r="D458" s="370">
        <v>2.1</v>
      </c>
      <c r="E458" s="229" t="s">
        <v>1621</v>
      </c>
    </row>
    <row r="459" ht="20.25" customHeight="1">
      <c r="A459" s="294"/>
      <c r="B459" s="287" t="s">
        <v>1322</v>
      </c>
      <c r="C459" s="358">
        <v>2200.0</v>
      </c>
      <c r="D459" s="359">
        <v>3200.0</v>
      </c>
      <c r="E459" s="166" t="s">
        <v>1622</v>
      </c>
    </row>
    <row r="460" ht="20.25" customHeight="1">
      <c r="A460" s="294"/>
      <c r="B460" s="368" t="s">
        <v>1324</v>
      </c>
      <c r="C460" s="371">
        <v>0.0</v>
      </c>
      <c r="D460" s="372">
        <v>50.0</v>
      </c>
      <c r="E460" s="229" t="s">
        <v>1602</v>
      </c>
    </row>
    <row r="461" ht="20.25" customHeight="1">
      <c r="A461" s="294"/>
      <c r="B461" s="287" t="s">
        <v>1326</v>
      </c>
      <c r="C461" s="352">
        <v>1.1</v>
      </c>
      <c r="D461" s="353">
        <v>1.3</v>
      </c>
      <c r="E461" s="166" t="s">
        <v>1623</v>
      </c>
    </row>
    <row r="462" ht="20.25" customHeight="1">
      <c r="A462" s="294"/>
      <c r="B462" s="368" t="s">
        <v>1328</v>
      </c>
      <c r="C462" s="371">
        <v>799.0</v>
      </c>
      <c r="D462" s="372">
        <v>850.0</v>
      </c>
      <c r="E462" s="229" t="s">
        <v>1329</v>
      </c>
    </row>
    <row r="463" ht="20.25" customHeight="1">
      <c r="A463" s="373"/>
      <c r="B463" s="374" t="s">
        <v>1330</v>
      </c>
      <c r="C463" s="375" t="s">
        <v>588</v>
      </c>
      <c r="D463" s="376" t="s">
        <v>1338</v>
      </c>
      <c r="E463" s="350" t="s">
        <v>1329</v>
      </c>
    </row>
    <row r="464" ht="20.25" customHeight="1">
      <c r="A464" s="366" t="s">
        <v>1101</v>
      </c>
      <c r="B464" s="287" t="s">
        <v>1318</v>
      </c>
      <c r="C464" s="352">
        <v>0.35</v>
      </c>
      <c r="D464" s="353">
        <v>0.5</v>
      </c>
      <c r="E464" s="166" t="s">
        <v>1355</v>
      </c>
    </row>
    <row r="465" ht="20.25" customHeight="1">
      <c r="A465" s="367"/>
      <c r="B465" s="368" t="s">
        <v>1320</v>
      </c>
      <c r="C465" s="369">
        <v>0.5</v>
      </c>
      <c r="D465" s="370">
        <v>1.0</v>
      </c>
      <c r="E465" s="229" t="s">
        <v>1334</v>
      </c>
    </row>
    <row r="466" ht="20.25" customHeight="1">
      <c r="A466" s="294"/>
      <c r="B466" s="287" t="s">
        <v>1322</v>
      </c>
      <c r="C466" s="358">
        <v>1500.0</v>
      </c>
      <c r="D466" s="359">
        <v>2500.0</v>
      </c>
      <c r="E466" s="166" t="s">
        <v>1624</v>
      </c>
    </row>
    <row r="467" ht="20.25" customHeight="1">
      <c r="A467" s="294"/>
      <c r="B467" s="368" t="s">
        <v>1324</v>
      </c>
      <c r="C467" s="371">
        <v>0.0</v>
      </c>
      <c r="D467" s="372">
        <v>0.0</v>
      </c>
      <c r="E467" s="229" t="s">
        <v>1329</v>
      </c>
    </row>
    <row r="468" ht="20.25" customHeight="1">
      <c r="A468" s="294"/>
      <c r="B468" s="287" t="s">
        <v>1326</v>
      </c>
      <c r="C468" s="352">
        <v>1.8</v>
      </c>
      <c r="D468" s="353">
        <v>2.5</v>
      </c>
      <c r="E468" s="166" t="s">
        <v>1625</v>
      </c>
    </row>
    <row r="469" ht="20.25" customHeight="1">
      <c r="A469" s="294"/>
      <c r="B469" s="368" t="s">
        <v>1328</v>
      </c>
      <c r="C469" s="371">
        <v>769.0</v>
      </c>
      <c r="D469" s="372">
        <v>800.0</v>
      </c>
      <c r="E469" s="229" t="s">
        <v>1329</v>
      </c>
    </row>
    <row r="470" ht="20.25" customHeight="1">
      <c r="A470" s="373"/>
      <c r="B470" s="374" t="s">
        <v>1330</v>
      </c>
      <c r="C470" s="375" t="s">
        <v>1331</v>
      </c>
      <c r="D470" s="376" t="s">
        <v>1332</v>
      </c>
      <c r="E470" s="350" t="s">
        <v>1329</v>
      </c>
    </row>
    <row r="471" ht="20.25" customHeight="1">
      <c r="A471" s="366" t="s">
        <v>1106</v>
      </c>
      <c r="B471" s="287" t="s">
        <v>1318</v>
      </c>
      <c r="C471" s="352">
        <v>0.35</v>
      </c>
      <c r="D471" s="353">
        <v>0.5</v>
      </c>
      <c r="E471" s="166" t="s">
        <v>1355</v>
      </c>
    </row>
    <row r="472" ht="20.25" customHeight="1">
      <c r="A472" s="367"/>
      <c r="B472" s="368" t="s">
        <v>1320</v>
      </c>
      <c r="C472" s="369">
        <v>0.5</v>
      </c>
      <c r="D472" s="370">
        <v>1.0</v>
      </c>
      <c r="E472" s="229" t="s">
        <v>1334</v>
      </c>
    </row>
    <row r="473" ht="20.25" customHeight="1">
      <c r="A473" s="294"/>
      <c r="B473" s="287" t="s">
        <v>1322</v>
      </c>
      <c r="C473" s="358">
        <v>1050.0</v>
      </c>
      <c r="D473" s="359">
        <v>1200.0</v>
      </c>
      <c r="E473" s="166" t="s">
        <v>1626</v>
      </c>
    </row>
    <row r="474" ht="20.25" customHeight="1">
      <c r="A474" s="294"/>
      <c r="B474" s="368" t="s">
        <v>1324</v>
      </c>
      <c r="C474" s="371">
        <v>600.0</v>
      </c>
      <c r="D474" s="372">
        <v>900.0</v>
      </c>
      <c r="E474" s="229" t="s">
        <v>1627</v>
      </c>
    </row>
    <row r="475" ht="20.25" customHeight="1">
      <c r="A475" s="294"/>
      <c r="B475" s="287" t="s">
        <v>1326</v>
      </c>
      <c r="C475" s="352">
        <v>1.3</v>
      </c>
      <c r="D475" s="353">
        <v>1.6</v>
      </c>
      <c r="E475" s="166" t="s">
        <v>1628</v>
      </c>
    </row>
    <row r="476" ht="20.25" customHeight="1">
      <c r="A476" s="294"/>
      <c r="B476" s="368" t="s">
        <v>1328</v>
      </c>
      <c r="C476" s="371">
        <v>703.0</v>
      </c>
      <c r="D476" s="372">
        <v>750.0</v>
      </c>
      <c r="E476" s="229" t="s">
        <v>1329</v>
      </c>
    </row>
    <row r="477" ht="20.25" customHeight="1">
      <c r="A477" s="373"/>
      <c r="B477" s="374" t="s">
        <v>1330</v>
      </c>
      <c r="C477" s="375" t="s">
        <v>1158</v>
      </c>
      <c r="D477" s="376" t="s">
        <v>1267</v>
      </c>
      <c r="E477" s="350" t="s">
        <v>1329</v>
      </c>
    </row>
    <row r="478" ht="20.25" customHeight="1">
      <c r="A478" s="366" t="s">
        <v>1629</v>
      </c>
      <c r="B478" s="287" t="s">
        <v>1318</v>
      </c>
      <c r="C478" s="352">
        <v>0.35</v>
      </c>
      <c r="D478" s="353">
        <v>0.6</v>
      </c>
      <c r="E478" s="166" t="s">
        <v>1630</v>
      </c>
    </row>
    <row r="479" ht="20.25" customHeight="1">
      <c r="A479" s="367"/>
      <c r="B479" s="368" t="s">
        <v>1320</v>
      </c>
      <c r="C479" s="369">
        <v>0.5</v>
      </c>
      <c r="D479" s="370">
        <v>1.2</v>
      </c>
      <c r="E479" s="229" t="s">
        <v>1334</v>
      </c>
    </row>
    <row r="480" ht="20.25" customHeight="1">
      <c r="A480" s="294"/>
      <c r="B480" s="287" t="s">
        <v>1322</v>
      </c>
      <c r="C480" s="358">
        <v>1450.0</v>
      </c>
      <c r="D480" s="359">
        <v>1800.0</v>
      </c>
      <c r="E480" s="166" t="s">
        <v>1631</v>
      </c>
    </row>
    <row r="481" ht="20.25" customHeight="1">
      <c r="A481" s="294"/>
      <c r="B481" s="368" t="s">
        <v>1324</v>
      </c>
      <c r="C481" s="371">
        <v>0.0</v>
      </c>
      <c r="D481" s="372">
        <v>50.0</v>
      </c>
      <c r="E481" s="229" t="s">
        <v>1602</v>
      </c>
    </row>
    <row r="482" ht="20.25" customHeight="1">
      <c r="A482" s="294"/>
      <c r="B482" s="287" t="s">
        <v>1326</v>
      </c>
      <c r="C482" s="352">
        <v>2.0</v>
      </c>
      <c r="D482" s="353">
        <v>2.5</v>
      </c>
      <c r="E482" s="166" t="s">
        <v>1632</v>
      </c>
    </row>
    <row r="483" ht="20.25" customHeight="1">
      <c r="A483" s="294"/>
      <c r="B483" s="368" t="s">
        <v>1328</v>
      </c>
      <c r="C483" s="371">
        <v>683.0</v>
      </c>
      <c r="D483" s="372">
        <v>700.0</v>
      </c>
      <c r="E483" s="229" t="s">
        <v>1329</v>
      </c>
    </row>
    <row r="484" ht="20.25" customHeight="1">
      <c r="A484" s="373"/>
      <c r="B484" s="374" t="s">
        <v>1330</v>
      </c>
      <c r="C484" s="375" t="s">
        <v>1267</v>
      </c>
      <c r="D484" s="376" t="s">
        <v>588</v>
      </c>
      <c r="E484" s="350" t="s">
        <v>1329</v>
      </c>
    </row>
    <row r="485" ht="20.25" customHeight="1">
      <c r="A485" s="366" t="s">
        <v>1156</v>
      </c>
      <c r="B485" s="287" t="s">
        <v>1318</v>
      </c>
      <c r="C485" s="352">
        <v>0.35</v>
      </c>
      <c r="D485" s="353">
        <v>0.7</v>
      </c>
      <c r="E485" s="166" t="s">
        <v>1633</v>
      </c>
    </row>
    <row r="486" ht="20.25" customHeight="1">
      <c r="A486" s="367"/>
      <c r="B486" s="368" t="s">
        <v>1320</v>
      </c>
      <c r="C486" s="369">
        <v>1.0</v>
      </c>
      <c r="D486" s="370">
        <v>1.9</v>
      </c>
      <c r="E486" s="229" t="s">
        <v>1634</v>
      </c>
    </row>
    <row r="487" ht="20.25" customHeight="1">
      <c r="A487" s="294"/>
      <c r="B487" s="287" t="s">
        <v>1322</v>
      </c>
      <c r="C487" s="358">
        <v>1800.0</v>
      </c>
      <c r="D487" s="359">
        <v>2500.0</v>
      </c>
      <c r="E487" s="166" t="s">
        <v>1635</v>
      </c>
    </row>
    <row r="488" ht="20.25" customHeight="1">
      <c r="A488" s="294"/>
      <c r="B488" s="368" t="s">
        <v>1324</v>
      </c>
      <c r="C488" s="371">
        <v>0.0</v>
      </c>
      <c r="D488" s="372">
        <v>250.0</v>
      </c>
      <c r="E488" s="229" t="s">
        <v>1636</v>
      </c>
    </row>
    <row r="489" ht="20.25" customHeight="1">
      <c r="A489" s="294"/>
      <c r="B489" s="287" t="s">
        <v>1326</v>
      </c>
      <c r="C489" s="352">
        <v>1.8</v>
      </c>
      <c r="D489" s="353">
        <v>2.2</v>
      </c>
      <c r="E489" s="166" t="s">
        <v>1637</v>
      </c>
    </row>
    <row r="490" ht="20.25" customHeight="1">
      <c r="A490" s="294"/>
      <c r="B490" s="368" t="s">
        <v>1328</v>
      </c>
      <c r="C490" s="371">
        <v>683.0</v>
      </c>
      <c r="D490" s="372">
        <v>700.0</v>
      </c>
      <c r="E490" s="229" t="s">
        <v>1329</v>
      </c>
    </row>
    <row r="491" ht="20.25" customHeight="1">
      <c r="A491" s="373"/>
      <c r="B491" s="374" t="s">
        <v>1330</v>
      </c>
      <c r="C491" s="375" t="s">
        <v>1267</v>
      </c>
      <c r="D491" s="376" t="s">
        <v>588</v>
      </c>
      <c r="E491" s="350" t="s">
        <v>1329</v>
      </c>
    </row>
    <row r="492" ht="20.25" customHeight="1">
      <c r="A492" s="377" t="s">
        <v>1164</v>
      </c>
      <c r="B492" s="287" t="s">
        <v>1318</v>
      </c>
      <c r="C492" s="352">
        <v>0.35</v>
      </c>
      <c r="D492" s="353">
        <v>0.75</v>
      </c>
      <c r="E492" s="166" t="s">
        <v>1638</v>
      </c>
    </row>
    <row r="493" ht="20.25" customHeight="1">
      <c r="A493" s="378"/>
      <c r="B493" s="379" t="s">
        <v>1320</v>
      </c>
      <c r="C493" s="380">
        <v>0.5</v>
      </c>
      <c r="D493" s="381">
        <v>1.8</v>
      </c>
      <c r="E493" s="244" t="s">
        <v>1639</v>
      </c>
    </row>
    <row r="494" ht="20.25" customHeight="1">
      <c r="A494" s="294"/>
      <c r="B494" s="287" t="s">
        <v>1322</v>
      </c>
      <c r="C494" s="358">
        <v>1050.0</v>
      </c>
      <c r="D494" s="359">
        <v>1100.0</v>
      </c>
      <c r="E494" s="166" t="s">
        <v>1329</v>
      </c>
    </row>
    <row r="495" ht="20.25" customHeight="1">
      <c r="A495" s="294"/>
      <c r="B495" s="379" t="s">
        <v>1324</v>
      </c>
      <c r="C495" s="382">
        <v>0.0</v>
      </c>
      <c r="D495" s="383">
        <v>0.0</v>
      </c>
      <c r="E495" s="244" t="s">
        <v>1329</v>
      </c>
    </row>
    <row r="496" ht="20.25" customHeight="1">
      <c r="A496" s="294"/>
      <c r="B496" s="287" t="s">
        <v>1326</v>
      </c>
      <c r="C496" s="352">
        <v>1.4</v>
      </c>
      <c r="D496" s="353">
        <v>1.6</v>
      </c>
      <c r="E496" s="166" t="s">
        <v>1640</v>
      </c>
    </row>
    <row r="497" ht="20.25" customHeight="1">
      <c r="A497" s="294"/>
      <c r="B497" s="379" t="s">
        <v>1328</v>
      </c>
      <c r="C497" s="382">
        <v>2000.0</v>
      </c>
      <c r="D497" s="383">
        <v>3200.0</v>
      </c>
      <c r="E497" s="244" t="s">
        <v>1641</v>
      </c>
    </row>
    <row r="498" ht="20.25" customHeight="1">
      <c r="A498" s="373"/>
      <c r="B498" s="374" t="s">
        <v>1330</v>
      </c>
      <c r="C498" s="375" t="s">
        <v>1338</v>
      </c>
      <c r="D498" s="376" t="s">
        <v>1331</v>
      </c>
      <c r="E498" s="384" t="s">
        <v>1329</v>
      </c>
    </row>
    <row r="499" ht="20.25" customHeight="1">
      <c r="A499" s="377" t="s">
        <v>1172</v>
      </c>
      <c r="B499" s="307" t="s">
        <v>1318</v>
      </c>
      <c r="C499" s="385">
        <v>0.64</v>
      </c>
      <c r="D499" s="386">
        <v>0.95</v>
      </c>
      <c r="E499" s="254" t="s">
        <v>1642</v>
      </c>
    </row>
    <row r="500" ht="20.25" customHeight="1">
      <c r="A500" s="387"/>
      <c r="B500" s="388" t="s">
        <v>1320</v>
      </c>
      <c r="C500" s="389">
        <v>1.7</v>
      </c>
      <c r="D500" s="390">
        <v>2.1</v>
      </c>
      <c r="E500" s="259" t="s">
        <v>1643</v>
      </c>
    </row>
    <row r="501" ht="20.25" customHeight="1">
      <c r="A501" s="294"/>
      <c r="B501" s="307" t="s">
        <v>1322</v>
      </c>
      <c r="C501" s="391">
        <v>2800.0</v>
      </c>
      <c r="D501" s="392">
        <v>3300.0</v>
      </c>
      <c r="E501" s="254" t="s">
        <v>1644</v>
      </c>
    </row>
    <row r="502" ht="20.25" customHeight="1">
      <c r="A502" s="294"/>
      <c r="B502" s="388" t="s">
        <v>1324</v>
      </c>
      <c r="C502" s="393">
        <v>0.0</v>
      </c>
      <c r="D502" s="394">
        <v>0.0</v>
      </c>
      <c r="E502" s="259" t="s">
        <v>1645</v>
      </c>
    </row>
    <row r="503" ht="20.25" customHeight="1">
      <c r="A503" s="294"/>
      <c r="B503" s="307" t="s">
        <v>1326</v>
      </c>
      <c r="C503" s="385">
        <v>1.0</v>
      </c>
      <c r="D503" s="386">
        <v>1.4</v>
      </c>
      <c r="E503" s="254" t="s">
        <v>1646</v>
      </c>
    </row>
    <row r="504" ht="20.25" customHeight="1">
      <c r="A504" s="294"/>
      <c r="B504" s="388" t="s">
        <v>1328</v>
      </c>
      <c r="C504" s="395">
        <v>793.0</v>
      </c>
      <c r="D504" s="396">
        <v>850.0</v>
      </c>
      <c r="E504" s="259" t="s">
        <v>1329</v>
      </c>
    </row>
    <row r="505" ht="20.25" customHeight="1">
      <c r="A505" s="373"/>
      <c r="B505" s="397" t="s">
        <v>1330</v>
      </c>
      <c r="C505" s="398" t="s">
        <v>1338</v>
      </c>
      <c r="D505" s="399" t="s">
        <v>1331</v>
      </c>
      <c r="E505" s="384" t="s">
        <v>1329</v>
      </c>
    </row>
    <row r="506" ht="20.25" customHeight="1">
      <c r="A506" s="400" t="s">
        <v>1177</v>
      </c>
      <c r="B506" s="307" t="s">
        <v>1318</v>
      </c>
      <c r="C506" s="385">
        <v>0.8</v>
      </c>
      <c r="D506" s="386">
        <v>0.9</v>
      </c>
      <c r="E506" s="254" t="s">
        <v>1647</v>
      </c>
    </row>
    <row r="507" ht="20.25" customHeight="1">
      <c r="A507" s="401"/>
      <c r="B507" s="388" t="s">
        <v>1320</v>
      </c>
      <c r="C507" s="389">
        <v>1.6</v>
      </c>
      <c r="D507" s="390">
        <v>2.4</v>
      </c>
      <c r="E507" s="259" t="s">
        <v>1648</v>
      </c>
    </row>
    <row r="508" ht="20.25" customHeight="1">
      <c r="A508" s="294"/>
      <c r="B508" s="307" t="s">
        <v>1322</v>
      </c>
      <c r="C508" s="391">
        <v>1300.0</v>
      </c>
      <c r="D508" s="392">
        <v>1600.0</v>
      </c>
      <c r="E508" s="254" t="s">
        <v>1649</v>
      </c>
    </row>
    <row r="509" ht="20.25" customHeight="1">
      <c r="A509" s="294"/>
      <c r="B509" s="388" t="s">
        <v>1324</v>
      </c>
      <c r="C509" s="393">
        <v>0.0</v>
      </c>
      <c r="D509" s="394">
        <v>0.0</v>
      </c>
      <c r="E509" s="259" t="s">
        <v>1329</v>
      </c>
    </row>
    <row r="510" ht="20.25" customHeight="1">
      <c r="A510" s="294"/>
      <c r="B510" s="307" t="s">
        <v>1326</v>
      </c>
      <c r="C510" s="402">
        <v>1.0</v>
      </c>
      <c r="D510" s="403">
        <v>1.4</v>
      </c>
      <c r="E510" s="254" t="s">
        <v>1650</v>
      </c>
    </row>
    <row r="511" ht="20.25" customHeight="1">
      <c r="A511" s="294"/>
      <c r="B511" s="388" t="s">
        <v>1328</v>
      </c>
      <c r="C511" s="395">
        <v>2300.0</v>
      </c>
      <c r="D511" s="396">
        <v>3200.0</v>
      </c>
      <c r="E511" s="259" t="s">
        <v>1651</v>
      </c>
    </row>
    <row r="512" ht="20.25" customHeight="1">
      <c r="A512" s="373"/>
      <c r="B512" s="397" t="s">
        <v>1330</v>
      </c>
      <c r="C512" s="404" t="s">
        <v>588</v>
      </c>
      <c r="D512" s="405" t="s">
        <v>1338</v>
      </c>
      <c r="E512" s="406" t="s">
        <v>1329</v>
      </c>
    </row>
    <row r="513" ht="20.25" customHeight="1">
      <c r="A513" s="400" t="s">
        <v>1185</v>
      </c>
      <c r="B513" s="307" t="s">
        <v>1318</v>
      </c>
      <c r="C513" s="385">
        <v>0.35</v>
      </c>
      <c r="D513" s="386">
        <v>0.7</v>
      </c>
      <c r="E513" s="254" t="s">
        <v>1652</v>
      </c>
    </row>
    <row r="514" ht="20.25" customHeight="1">
      <c r="A514" s="401"/>
      <c r="B514" s="388" t="s">
        <v>1320</v>
      </c>
      <c r="C514" s="389">
        <v>0.7</v>
      </c>
      <c r="D514" s="390">
        <v>1.5</v>
      </c>
      <c r="E514" s="259" t="s">
        <v>1334</v>
      </c>
    </row>
    <row r="515" ht="20.25" customHeight="1">
      <c r="A515" s="294"/>
      <c r="B515" s="307" t="s">
        <v>1322</v>
      </c>
      <c r="C515" s="391">
        <v>1200.0</v>
      </c>
      <c r="D515" s="407">
        <v>1300.0</v>
      </c>
      <c r="E515" s="408" t="s">
        <v>1329</v>
      </c>
    </row>
    <row r="516" ht="20.25" customHeight="1">
      <c r="A516" s="294"/>
      <c r="B516" s="388" t="s">
        <v>1324</v>
      </c>
      <c r="C516" s="393">
        <v>0.0</v>
      </c>
      <c r="D516" s="396">
        <v>0.0</v>
      </c>
      <c r="E516" s="259" t="s">
        <v>1653</v>
      </c>
    </row>
    <row r="517" ht="20.25" customHeight="1">
      <c r="A517" s="294"/>
      <c r="B517" s="307" t="s">
        <v>1326</v>
      </c>
      <c r="C517" s="385">
        <v>1.3</v>
      </c>
      <c r="D517" s="386">
        <v>1.8</v>
      </c>
      <c r="E517" s="254" t="s">
        <v>1654</v>
      </c>
    </row>
    <row r="518" ht="20.25" customHeight="1">
      <c r="A518" s="294"/>
      <c r="B518" s="388" t="s">
        <v>1328</v>
      </c>
      <c r="C518" s="395">
        <v>2000.0</v>
      </c>
      <c r="D518" s="396">
        <v>2300.0</v>
      </c>
      <c r="E518" s="259" t="s">
        <v>1655</v>
      </c>
    </row>
    <row r="519" ht="20.25" customHeight="1">
      <c r="A519" s="373"/>
      <c r="B519" s="397" t="s">
        <v>1330</v>
      </c>
      <c r="C519" s="404" t="s">
        <v>588</v>
      </c>
      <c r="D519" s="405" t="s">
        <v>1338</v>
      </c>
      <c r="E519" s="406" t="s">
        <v>1329</v>
      </c>
    </row>
    <row r="520" ht="20.25" customHeight="1">
      <c r="A520" s="400" t="s">
        <v>1190</v>
      </c>
      <c r="B520" s="307" t="s">
        <v>1318</v>
      </c>
      <c r="C520" s="385">
        <v>0.35</v>
      </c>
      <c r="D520" s="386">
        <v>0.5</v>
      </c>
      <c r="E520" s="254" t="s">
        <v>1355</v>
      </c>
    </row>
    <row r="521" ht="20.25" customHeight="1">
      <c r="A521" s="401"/>
      <c r="B521" s="388" t="s">
        <v>1320</v>
      </c>
      <c r="C521" s="389">
        <v>0.5</v>
      </c>
      <c r="D521" s="390">
        <v>1.0</v>
      </c>
      <c r="E521" s="259" t="s">
        <v>1334</v>
      </c>
    </row>
    <row r="522" ht="20.25" customHeight="1">
      <c r="A522" s="294"/>
      <c r="B522" s="307" t="s">
        <v>1322</v>
      </c>
      <c r="C522" s="391">
        <v>1200.0</v>
      </c>
      <c r="D522" s="392">
        <v>1300.0</v>
      </c>
      <c r="E522" s="254" t="s">
        <v>1656</v>
      </c>
    </row>
    <row r="523" ht="20.25" customHeight="1">
      <c r="A523" s="294"/>
      <c r="B523" s="388" t="s">
        <v>1324</v>
      </c>
      <c r="C523" s="395">
        <v>0.0</v>
      </c>
      <c r="D523" s="396">
        <v>0.0</v>
      </c>
      <c r="E523" s="259" t="s">
        <v>1329</v>
      </c>
    </row>
    <row r="524" ht="20.25" customHeight="1">
      <c r="A524" s="294"/>
      <c r="B524" s="307" t="s">
        <v>1326</v>
      </c>
      <c r="C524" s="385">
        <v>1.8</v>
      </c>
      <c r="D524" s="386">
        <v>2.0</v>
      </c>
      <c r="E524" s="254" t="s">
        <v>1657</v>
      </c>
    </row>
    <row r="525" ht="20.25" customHeight="1">
      <c r="A525" s="294"/>
      <c r="B525" s="388" t="s">
        <v>1328</v>
      </c>
      <c r="C525" s="395">
        <v>2300.0</v>
      </c>
      <c r="D525" s="396">
        <v>2400.0</v>
      </c>
      <c r="E525" s="259" t="s">
        <v>1658</v>
      </c>
    </row>
    <row r="526" ht="20.25" customHeight="1">
      <c r="A526" s="373"/>
      <c r="B526" s="397" t="s">
        <v>1330</v>
      </c>
      <c r="C526" s="404" t="s">
        <v>1158</v>
      </c>
      <c r="D526" s="405" t="s">
        <v>1267</v>
      </c>
      <c r="E526" s="406" t="s">
        <v>1329</v>
      </c>
    </row>
    <row r="527" ht="20.25" customHeight="1">
      <c r="A527" s="400" t="s">
        <v>1196</v>
      </c>
      <c r="B527" s="307" t="s">
        <v>1318</v>
      </c>
      <c r="C527" s="385">
        <v>0.35</v>
      </c>
      <c r="D527" s="386">
        <v>0.5</v>
      </c>
      <c r="E527" s="254" t="s">
        <v>1355</v>
      </c>
    </row>
    <row r="528" ht="20.25" customHeight="1">
      <c r="A528" s="401"/>
      <c r="B528" s="388" t="s">
        <v>1320</v>
      </c>
      <c r="C528" s="389">
        <v>0.5</v>
      </c>
      <c r="D528" s="390">
        <v>1.0</v>
      </c>
      <c r="E528" s="259" t="s">
        <v>1334</v>
      </c>
    </row>
    <row r="529" ht="20.25" customHeight="1">
      <c r="A529" s="294"/>
      <c r="B529" s="307" t="s">
        <v>1322</v>
      </c>
      <c r="C529" s="391">
        <v>1100.0</v>
      </c>
      <c r="D529" s="392">
        <v>1150.0</v>
      </c>
      <c r="E529" s="254" t="s">
        <v>1659</v>
      </c>
    </row>
    <row r="530" ht="20.25" customHeight="1">
      <c r="A530" s="294"/>
      <c r="B530" s="388" t="s">
        <v>1324</v>
      </c>
      <c r="C530" s="395">
        <v>0.0</v>
      </c>
      <c r="D530" s="396">
        <v>100.0</v>
      </c>
      <c r="E530" s="259" t="s">
        <v>1660</v>
      </c>
    </row>
    <row r="531" ht="20.25" customHeight="1">
      <c r="A531" s="294"/>
      <c r="B531" s="307" t="s">
        <v>1326</v>
      </c>
      <c r="C531" s="385">
        <v>2.0</v>
      </c>
      <c r="D531" s="386">
        <v>2.5</v>
      </c>
      <c r="E531" s="254" t="s">
        <v>1661</v>
      </c>
    </row>
    <row r="532" ht="20.25" customHeight="1">
      <c r="A532" s="294"/>
      <c r="B532" s="388" t="s">
        <v>1328</v>
      </c>
      <c r="C532" s="395">
        <v>1200.0</v>
      </c>
      <c r="D532" s="396">
        <v>2000.0</v>
      </c>
      <c r="E532" s="259" t="s">
        <v>1662</v>
      </c>
    </row>
    <row r="533" ht="20.25" customHeight="1">
      <c r="A533" s="373"/>
      <c r="B533" s="397" t="s">
        <v>1330</v>
      </c>
      <c r="C533" s="404" t="s">
        <v>425</v>
      </c>
      <c r="D533" s="405" t="s">
        <v>1158</v>
      </c>
      <c r="E533" s="406" t="s">
        <v>1329</v>
      </c>
    </row>
    <row r="534" ht="20.25" customHeight="1">
      <c r="A534" s="400" t="s">
        <v>1204</v>
      </c>
      <c r="B534" s="307" t="s">
        <v>1318</v>
      </c>
      <c r="C534" s="385">
        <v>0.8</v>
      </c>
      <c r="D534" s="386">
        <v>0.95</v>
      </c>
      <c r="E534" s="166" t="s">
        <v>1620</v>
      </c>
    </row>
    <row r="535" ht="20.25" customHeight="1">
      <c r="A535" s="401"/>
      <c r="B535" s="388" t="s">
        <v>1320</v>
      </c>
      <c r="C535" s="389">
        <v>1.7</v>
      </c>
      <c r="D535" s="390">
        <v>2.3</v>
      </c>
      <c r="E535" s="259" t="s">
        <v>1663</v>
      </c>
    </row>
    <row r="536" ht="20.25" customHeight="1">
      <c r="A536" s="294"/>
      <c r="B536" s="307" t="s">
        <v>1322</v>
      </c>
      <c r="C536" s="391">
        <v>1200.0</v>
      </c>
      <c r="D536" s="392">
        <v>1600.0</v>
      </c>
      <c r="E536" s="254" t="s">
        <v>1664</v>
      </c>
    </row>
    <row r="537" ht="20.25" customHeight="1">
      <c r="A537" s="294"/>
      <c r="B537" s="388" t="s">
        <v>1324</v>
      </c>
      <c r="C537" s="395">
        <v>0.0</v>
      </c>
      <c r="D537" s="396">
        <v>0.0</v>
      </c>
      <c r="E537" s="259" t="s">
        <v>1329</v>
      </c>
    </row>
    <row r="538" ht="20.25" customHeight="1">
      <c r="A538" s="294"/>
      <c r="B538" s="307" t="s">
        <v>1326</v>
      </c>
      <c r="C538" s="385">
        <v>1.1</v>
      </c>
      <c r="D538" s="386">
        <v>1.3</v>
      </c>
      <c r="E538" s="254" t="s">
        <v>1665</v>
      </c>
    </row>
    <row r="539" ht="20.25" customHeight="1">
      <c r="A539" s="294"/>
      <c r="B539" s="388" t="s">
        <v>1328</v>
      </c>
      <c r="C539" s="395">
        <v>2400.0</v>
      </c>
      <c r="D539" s="396">
        <v>2700.0</v>
      </c>
      <c r="E539" s="259" t="s">
        <v>1666</v>
      </c>
    </row>
    <row r="540" ht="20.25" customHeight="1">
      <c r="A540" s="373"/>
      <c r="B540" s="397" t="s">
        <v>1330</v>
      </c>
      <c r="C540" s="404" t="s">
        <v>588</v>
      </c>
      <c r="D540" s="405" t="s">
        <v>1338</v>
      </c>
      <c r="E540" s="406" t="s">
        <v>1329</v>
      </c>
    </row>
    <row r="541" ht="20.25" customHeight="1">
      <c r="A541" s="400" t="s">
        <v>1212</v>
      </c>
      <c r="B541" s="307" t="s">
        <v>1318</v>
      </c>
      <c r="C541" s="385">
        <v>0.6</v>
      </c>
      <c r="D541" s="386">
        <v>0.8</v>
      </c>
      <c r="E541" s="254" t="s">
        <v>1667</v>
      </c>
    </row>
    <row r="542" ht="20.25" customHeight="1">
      <c r="A542" s="401"/>
      <c r="B542" s="388" t="s">
        <v>1320</v>
      </c>
      <c r="C542" s="389">
        <v>1.3</v>
      </c>
      <c r="D542" s="390">
        <v>2.0</v>
      </c>
      <c r="E542" s="259" t="s">
        <v>1668</v>
      </c>
    </row>
    <row r="543" ht="20.25" customHeight="1">
      <c r="A543" s="294"/>
      <c r="B543" s="307" t="s">
        <v>1322</v>
      </c>
      <c r="C543" s="391">
        <v>1150.0</v>
      </c>
      <c r="D543" s="392">
        <v>1250.0</v>
      </c>
      <c r="E543" s="254" t="s">
        <v>1669</v>
      </c>
    </row>
    <row r="544" ht="20.25" customHeight="1">
      <c r="A544" s="294"/>
      <c r="B544" s="388" t="s">
        <v>1324</v>
      </c>
      <c r="C544" s="395">
        <v>0.0</v>
      </c>
      <c r="D544" s="396">
        <v>125.0</v>
      </c>
      <c r="E544" s="259" t="s">
        <v>1670</v>
      </c>
    </row>
    <row r="545" ht="20.25" customHeight="1">
      <c r="A545" s="294"/>
      <c r="B545" s="307" t="s">
        <v>1326</v>
      </c>
      <c r="C545" s="385">
        <v>1.0</v>
      </c>
      <c r="D545" s="386">
        <v>1.4</v>
      </c>
      <c r="E545" s="254" t="s">
        <v>1671</v>
      </c>
    </row>
    <row r="546" ht="20.25" customHeight="1">
      <c r="A546" s="294"/>
      <c r="B546" s="388" t="s">
        <v>1328</v>
      </c>
      <c r="C546" s="395">
        <v>2300.0</v>
      </c>
      <c r="D546" s="396">
        <v>3200.0</v>
      </c>
      <c r="E546" s="259" t="s">
        <v>1672</v>
      </c>
    </row>
    <row r="547" ht="20.25" customHeight="1">
      <c r="A547" s="373"/>
      <c r="B547" s="397" t="s">
        <v>1330</v>
      </c>
      <c r="C547" s="404" t="s">
        <v>1338</v>
      </c>
      <c r="D547" s="405" t="s">
        <v>1331</v>
      </c>
      <c r="E547" s="406" t="s">
        <v>1329</v>
      </c>
    </row>
    <row r="548" ht="20.25" customHeight="1">
      <c r="A548" s="400" t="s">
        <v>1217</v>
      </c>
      <c r="B548" s="307" t="s">
        <v>1318</v>
      </c>
      <c r="C548" s="385">
        <v>0.35</v>
      </c>
      <c r="D548" s="386">
        <v>0.6</v>
      </c>
      <c r="E548" s="254" t="s">
        <v>1355</v>
      </c>
    </row>
    <row r="549" ht="20.25" customHeight="1">
      <c r="A549" s="401"/>
      <c r="B549" s="388" t="s">
        <v>1320</v>
      </c>
      <c r="C549" s="389">
        <v>0.5</v>
      </c>
      <c r="D549" s="390">
        <v>1.2</v>
      </c>
      <c r="E549" s="259" t="s">
        <v>1334</v>
      </c>
    </row>
    <row r="550" ht="20.25" customHeight="1">
      <c r="A550" s="294"/>
      <c r="B550" s="307" t="s">
        <v>1322</v>
      </c>
      <c r="C550" s="391">
        <v>1300.0</v>
      </c>
      <c r="D550" s="392">
        <v>1800.0</v>
      </c>
      <c r="E550" s="254" t="s">
        <v>1673</v>
      </c>
    </row>
    <row r="551" ht="20.25" customHeight="1">
      <c r="A551" s="294"/>
      <c r="B551" s="388" t="s">
        <v>1324</v>
      </c>
      <c r="C551" s="395">
        <v>0.0</v>
      </c>
      <c r="D551" s="396">
        <v>0.0</v>
      </c>
      <c r="E551" s="259" t="s">
        <v>1329</v>
      </c>
    </row>
    <row r="552" ht="20.25" customHeight="1">
      <c r="A552" s="294"/>
      <c r="B552" s="307" t="s">
        <v>1326</v>
      </c>
      <c r="C552" s="385">
        <v>1.0</v>
      </c>
      <c r="D552" s="386">
        <v>1.6</v>
      </c>
      <c r="E552" s="254" t="s">
        <v>1674</v>
      </c>
    </row>
    <row r="553" ht="20.25" customHeight="1">
      <c r="A553" s="294"/>
      <c r="B553" s="388" t="s">
        <v>1328</v>
      </c>
      <c r="C553" s="395">
        <v>738.0</v>
      </c>
      <c r="D553" s="396">
        <v>750.0</v>
      </c>
      <c r="E553" s="259" t="s">
        <v>1329</v>
      </c>
    </row>
    <row r="554" ht="20.25" customHeight="1">
      <c r="A554" s="373"/>
      <c r="B554" s="397" t="s">
        <v>1330</v>
      </c>
      <c r="C554" s="404" t="s">
        <v>414</v>
      </c>
      <c r="D554" s="405" t="s">
        <v>548</v>
      </c>
      <c r="E554" s="409" t="s">
        <v>1675</v>
      </c>
    </row>
    <row r="555" ht="20.25" customHeight="1">
      <c r="A555" s="400" t="s">
        <v>1223</v>
      </c>
      <c r="B555" s="307" t="s">
        <v>1318</v>
      </c>
      <c r="C555" s="385">
        <v>0.4</v>
      </c>
      <c r="D555" s="386">
        <v>0.75</v>
      </c>
      <c r="E555" s="254" t="s">
        <v>1676</v>
      </c>
    </row>
    <row r="556" ht="20.25" customHeight="1">
      <c r="A556" s="401"/>
      <c r="B556" s="388" t="s">
        <v>1320</v>
      </c>
      <c r="C556" s="389">
        <v>1.0</v>
      </c>
      <c r="D556" s="390">
        <v>1.6</v>
      </c>
      <c r="E556" s="259" t="s">
        <v>1677</v>
      </c>
    </row>
    <row r="557" ht="20.25" customHeight="1">
      <c r="A557" s="294"/>
      <c r="B557" s="307" t="s">
        <v>1322</v>
      </c>
      <c r="C557" s="391">
        <v>1800.0</v>
      </c>
      <c r="D557" s="392">
        <v>2400.0</v>
      </c>
      <c r="E557" s="254" t="s">
        <v>1678</v>
      </c>
    </row>
    <row r="558" ht="20.25" customHeight="1">
      <c r="A558" s="294"/>
      <c r="B558" s="388" t="s">
        <v>1324</v>
      </c>
      <c r="C558" s="395">
        <v>0.0</v>
      </c>
      <c r="D558" s="396">
        <v>100.0</v>
      </c>
      <c r="E558" s="259" t="s">
        <v>1679</v>
      </c>
    </row>
    <row r="559" ht="20.25" customHeight="1">
      <c r="A559" s="294"/>
      <c r="B559" s="307" t="s">
        <v>1326</v>
      </c>
      <c r="C559" s="385">
        <v>1.2</v>
      </c>
      <c r="D559" s="386">
        <v>1.45</v>
      </c>
      <c r="E559" s="254" t="s">
        <v>1680</v>
      </c>
    </row>
    <row r="560" ht="20.25" customHeight="1">
      <c r="A560" s="294"/>
      <c r="B560" s="388" t="s">
        <v>1328</v>
      </c>
      <c r="C560" s="395">
        <v>573.0</v>
      </c>
      <c r="D560" s="396">
        <v>600.0</v>
      </c>
      <c r="E560" s="259" t="s">
        <v>1329</v>
      </c>
    </row>
    <row r="561" ht="20.25" customHeight="1">
      <c r="A561" s="373"/>
      <c r="B561" s="397" t="s">
        <v>1330</v>
      </c>
      <c r="C561" s="404" t="s">
        <v>1158</v>
      </c>
      <c r="D561" s="405" t="s">
        <v>1267</v>
      </c>
      <c r="E561" s="406" t="s">
        <v>1329</v>
      </c>
    </row>
    <row r="562" ht="20.25" customHeight="1">
      <c r="A562" s="400" t="s">
        <v>1228</v>
      </c>
      <c r="B562" s="307" t="s">
        <v>1318</v>
      </c>
      <c r="C562" s="385">
        <v>0.8</v>
      </c>
      <c r="D562" s="386">
        <v>0.96</v>
      </c>
      <c r="E562" s="254" t="s">
        <v>1681</v>
      </c>
    </row>
    <row r="563" ht="20.25" customHeight="1">
      <c r="A563" s="401"/>
      <c r="B563" s="388" t="s">
        <v>1320</v>
      </c>
      <c r="C563" s="389">
        <v>1.7</v>
      </c>
      <c r="D563" s="390">
        <v>2.5</v>
      </c>
      <c r="E563" s="259" t="s">
        <v>1682</v>
      </c>
    </row>
    <row r="564" ht="20.25" customHeight="1">
      <c r="A564" s="294"/>
      <c r="B564" s="307" t="s">
        <v>1322</v>
      </c>
      <c r="C564" s="391">
        <v>1200.0</v>
      </c>
      <c r="D564" s="392">
        <v>1500.0</v>
      </c>
      <c r="E564" s="254" t="s">
        <v>1683</v>
      </c>
    </row>
    <row r="565" ht="20.25" customHeight="1">
      <c r="A565" s="294"/>
      <c r="B565" s="388" t="s">
        <v>1324</v>
      </c>
      <c r="C565" s="395">
        <v>0.0</v>
      </c>
      <c r="D565" s="396">
        <v>0.0</v>
      </c>
      <c r="E565" s="259" t="s">
        <v>1329</v>
      </c>
    </row>
    <row r="566" ht="20.25" customHeight="1">
      <c r="A566" s="294"/>
      <c r="B566" s="307" t="s">
        <v>1326</v>
      </c>
      <c r="C566" s="385">
        <v>1.25</v>
      </c>
      <c r="D566" s="386">
        <v>1.5</v>
      </c>
      <c r="E566" s="254" t="s">
        <v>1684</v>
      </c>
    </row>
    <row r="567" ht="20.25" customHeight="1">
      <c r="A567" s="294"/>
      <c r="B567" s="388" t="s">
        <v>1328</v>
      </c>
      <c r="C567" s="395">
        <v>2000.0</v>
      </c>
      <c r="D567" s="396">
        <v>2500.0</v>
      </c>
      <c r="E567" s="259" t="s">
        <v>1685</v>
      </c>
    </row>
    <row r="568" ht="20.25" customHeight="1">
      <c r="A568" s="373"/>
      <c r="B568" s="397" t="s">
        <v>1330</v>
      </c>
      <c r="C568" s="404" t="s">
        <v>588</v>
      </c>
      <c r="D568" s="405" t="s">
        <v>1338</v>
      </c>
      <c r="E568" s="406" t="s">
        <v>1329</v>
      </c>
    </row>
    <row r="569" ht="20.25" customHeight="1">
      <c r="A569" s="400" t="s">
        <v>1686</v>
      </c>
      <c r="B569" s="307" t="s">
        <v>1318</v>
      </c>
      <c r="C569" s="385">
        <v>0.35</v>
      </c>
      <c r="D569" s="386">
        <v>0.5</v>
      </c>
      <c r="E569" s="254" t="s">
        <v>1355</v>
      </c>
    </row>
    <row r="570" ht="20.25" customHeight="1">
      <c r="A570" s="401"/>
      <c r="B570" s="388" t="s">
        <v>1320</v>
      </c>
      <c r="C570" s="389">
        <v>0.5</v>
      </c>
      <c r="D570" s="390">
        <v>1.0</v>
      </c>
      <c r="E570" s="259" t="s">
        <v>1334</v>
      </c>
    </row>
    <row r="571" ht="20.25" customHeight="1">
      <c r="A571" s="294"/>
      <c r="B571" s="307" t="s">
        <v>1322</v>
      </c>
      <c r="C571" s="391">
        <v>1300.0</v>
      </c>
      <c r="D571" s="392">
        <v>1600.0</v>
      </c>
      <c r="E571" s="254" t="s">
        <v>1687</v>
      </c>
    </row>
    <row r="572" ht="20.25" customHeight="1">
      <c r="A572" s="294"/>
      <c r="B572" s="388" t="s">
        <v>1324</v>
      </c>
      <c r="C572" s="395">
        <v>0.0</v>
      </c>
      <c r="D572" s="396">
        <v>0.0</v>
      </c>
      <c r="E572" s="259" t="s">
        <v>1329</v>
      </c>
    </row>
    <row r="573" ht="20.25" customHeight="1">
      <c r="A573" s="294"/>
      <c r="B573" s="307" t="s">
        <v>1326</v>
      </c>
      <c r="C573" s="385">
        <v>1.6</v>
      </c>
      <c r="D573" s="386">
        <v>2.2</v>
      </c>
      <c r="E573" s="254" t="s">
        <v>1688</v>
      </c>
    </row>
    <row r="574" ht="20.25" customHeight="1">
      <c r="A574" s="294"/>
      <c r="B574" s="388" t="s">
        <v>1328</v>
      </c>
      <c r="C574" s="395">
        <v>683.0</v>
      </c>
      <c r="D574" s="396">
        <v>700.0</v>
      </c>
      <c r="E574" s="259" t="s">
        <v>1329</v>
      </c>
    </row>
    <row r="575" ht="20.25" customHeight="1">
      <c r="A575" s="373"/>
      <c r="B575" s="397" t="s">
        <v>1330</v>
      </c>
      <c r="C575" s="404" t="s">
        <v>1267</v>
      </c>
      <c r="D575" s="405" t="s">
        <v>588</v>
      </c>
      <c r="E575" s="406" t="s">
        <v>1329</v>
      </c>
    </row>
    <row r="576" ht="20.25" customHeight="1">
      <c r="A576" s="410" t="s">
        <v>1689</v>
      </c>
      <c r="B576" s="411" t="s">
        <v>1318</v>
      </c>
      <c r="C576" s="352">
        <v>0.35</v>
      </c>
      <c r="D576" s="353">
        <v>0.6</v>
      </c>
      <c r="E576" s="166" t="s">
        <v>1355</v>
      </c>
    </row>
    <row r="577" ht="20.25" customHeight="1">
      <c r="A577" s="412"/>
      <c r="B577" s="413" t="s">
        <v>1320</v>
      </c>
      <c r="C577" s="414">
        <v>0.5</v>
      </c>
      <c r="D577" s="415">
        <v>1.2</v>
      </c>
      <c r="E577" s="416" t="s">
        <v>1345</v>
      </c>
    </row>
    <row r="578" ht="20.25" customHeight="1">
      <c r="A578" s="294"/>
      <c r="B578" s="411" t="s">
        <v>1322</v>
      </c>
      <c r="C578" s="358">
        <v>1300.0</v>
      </c>
      <c r="D578" s="359">
        <v>1900.0</v>
      </c>
      <c r="E578" s="166" t="s">
        <v>1690</v>
      </c>
    </row>
    <row r="579" ht="20.25" customHeight="1">
      <c r="A579" s="294"/>
      <c r="B579" s="413" t="s">
        <v>1324</v>
      </c>
      <c r="C579" s="417">
        <v>0.0</v>
      </c>
      <c r="D579" s="418">
        <v>1000.0</v>
      </c>
      <c r="E579" s="416" t="s">
        <v>1691</v>
      </c>
    </row>
    <row r="580" ht="20.25" customHeight="1">
      <c r="A580" s="294"/>
      <c r="B580" s="411" t="s">
        <v>1326</v>
      </c>
      <c r="C580" s="352">
        <v>1.9</v>
      </c>
      <c r="D580" s="353">
        <v>2.2</v>
      </c>
      <c r="E580" s="166" t="s">
        <v>1692</v>
      </c>
    </row>
    <row r="581" ht="20.25" customHeight="1">
      <c r="A581" s="294"/>
      <c r="B581" s="413" t="s">
        <v>1328</v>
      </c>
      <c r="C581" s="417">
        <v>683.0</v>
      </c>
      <c r="D581" s="418">
        <v>700.0</v>
      </c>
      <c r="E581" s="416" t="s">
        <v>1329</v>
      </c>
    </row>
    <row r="582" ht="20.25" customHeight="1">
      <c r="A582" s="373"/>
      <c r="B582" s="419" t="s">
        <v>1330</v>
      </c>
      <c r="C582" s="375" t="s">
        <v>1267</v>
      </c>
      <c r="D582" s="376" t="s">
        <v>588</v>
      </c>
      <c r="E582" s="384" t="s">
        <v>1329</v>
      </c>
    </row>
    <row r="583" ht="20.25" customHeight="1">
      <c r="A583" s="410" t="s">
        <v>767</v>
      </c>
      <c r="B583" s="411" t="s">
        <v>1318</v>
      </c>
      <c r="C583" s="352">
        <v>0.8</v>
      </c>
      <c r="D583" s="353">
        <v>0.96</v>
      </c>
      <c r="E583" s="166" t="s">
        <v>1693</v>
      </c>
    </row>
    <row r="584" ht="20.25" customHeight="1">
      <c r="A584" s="412"/>
      <c r="B584" s="413" t="s">
        <v>1320</v>
      </c>
      <c r="C584" s="414">
        <v>1.8</v>
      </c>
      <c r="D584" s="415">
        <v>2.5</v>
      </c>
      <c r="E584" s="416" t="s">
        <v>1694</v>
      </c>
    </row>
    <row r="585" ht="20.25" customHeight="1">
      <c r="A585" s="294"/>
      <c r="B585" s="411" t="s">
        <v>1322</v>
      </c>
      <c r="C585" s="358">
        <v>1800.0</v>
      </c>
      <c r="D585" s="359">
        <v>2800.0</v>
      </c>
      <c r="E585" s="166" t="s">
        <v>1695</v>
      </c>
    </row>
    <row r="586" ht="20.25" customHeight="1">
      <c r="A586" s="294"/>
      <c r="B586" s="413" t="s">
        <v>1324</v>
      </c>
      <c r="C586" s="417">
        <v>0.0</v>
      </c>
      <c r="D586" s="418">
        <v>1000.0</v>
      </c>
      <c r="E586" s="416" t="s">
        <v>1696</v>
      </c>
    </row>
    <row r="587" ht="20.25" customHeight="1">
      <c r="A587" s="294"/>
      <c r="B587" s="411" t="s">
        <v>1326</v>
      </c>
      <c r="C587" s="352">
        <v>1.0</v>
      </c>
      <c r="D587" s="353">
        <v>1.0</v>
      </c>
      <c r="E587" s="166" t="s">
        <v>1329</v>
      </c>
    </row>
    <row r="588" ht="20.25" customHeight="1">
      <c r="A588" s="294"/>
      <c r="B588" s="413" t="s">
        <v>1328</v>
      </c>
      <c r="C588" s="417">
        <v>792.0</v>
      </c>
      <c r="D588" s="418">
        <v>850.0</v>
      </c>
      <c r="E588" s="416" t="s">
        <v>1329</v>
      </c>
    </row>
    <row r="589" ht="20.25" customHeight="1">
      <c r="A589" s="373"/>
      <c r="B589" s="419" t="s">
        <v>1330</v>
      </c>
      <c r="C589" s="375" t="s">
        <v>588</v>
      </c>
      <c r="D589" s="376" t="s">
        <v>1338</v>
      </c>
      <c r="E589" s="384" t="s">
        <v>1329</v>
      </c>
    </row>
    <row r="590" ht="20.25" customHeight="1">
      <c r="A590" s="410" t="s">
        <v>710</v>
      </c>
      <c r="B590" s="411" t="s">
        <v>1318</v>
      </c>
      <c r="C590" s="352">
        <v>0.8</v>
      </c>
      <c r="D590" s="353">
        <v>0.95</v>
      </c>
      <c r="E590" s="166" t="s">
        <v>1697</v>
      </c>
    </row>
    <row r="591" ht="20.25" customHeight="1">
      <c r="A591" s="412"/>
      <c r="B591" s="413" t="s">
        <v>1320</v>
      </c>
      <c r="C591" s="414">
        <v>1.7</v>
      </c>
      <c r="D591" s="415">
        <v>2.1</v>
      </c>
      <c r="E591" s="416" t="s">
        <v>1321</v>
      </c>
    </row>
    <row r="592" ht="20.25" customHeight="1">
      <c r="A592" s="294"/>
      <c r="B592" s="411" t="s">
        <v>1322</v>
      </c>
      <c r="C592" s="358">
        <v>2000.0</v>
      </c>
      <c r="D592" s="359">
        <v>2700.0</v>
      </c>
      <c r="E592" s="166" t="s">
        <v>1698</v>
      </c>
    </row>
    <row r="593" ht="20.25" customHeight="1">
      <c r="A593" s="294"/>
      <c r="B593" s="413" t="s">
        <v>1324</v>
      </c>
      <c r="C593" s="417">
        <v>0.0</v>
      </c>
      <c r="D593" s="418">
        <v>600.0</v>
      </c>
      <c r="E593" s="416" t="s">
        <v>1699</v>
      </c>
    </row>
    <row r="594" ht="20.25" customHeight="1">
      <c r="A594" s="294"/>
      <c r="B594" s="411" t="s">
        <v>1326</v>
      </c>
      <c r="C594" s="352">
        <v>1.0</v>
      </c>
      <c r="D594" s="353">
        <v>1.25</v>
      </c>
      <c r="E594" s="166" t="s">
        <v>1700</v>
      </c>
    </row>
    <row r="595" ht="20.25" customHeight="1">
      <c r="A595" s="294"/>
      <c r="B595" s="413" t="s">
        <v>1328</v>
      </c>
      <c r="C595" s="417">
        <v>765.0</v>
      </c>
      <c r="D595" s="418">
        <v>800.0</v>
      </c>
      <c r="E595" s="416" t="s">
        <v>1329</v>
      </c>
    </row>
    <row r="596" ht="20.25" customHeight="1">
      <c r="A596" s="373"/>
      <c r="B596" s="419" t="s">
        <v>1330</v>
      </c>
      <c r="C596" s="375" t="s">
        <v>1338</v>
      </c>
      <c r="D596" s="376" t="s">
        <v>1331</v>
      </c>
      <c r="E596" s="384" t="s">
        <v>1329</v>
      </c>
    </row>
    <row r="597" ht="20.25" customHeight="1">
      <c r="A597" s="410" t="s">
        <v>749</v>
      </c>
      <c r="B597" s="411" t="s">
        <v>1318</v>
      </c>
      <c r="C597" s="352">
        <v>0.8</v>
      </c>
      <c r="D597" s="353">
        <v>0.95</v>
      </c>
      <c r="E597" s="166" t="s">
        <v>1701</v>
      </c>
    </row>
    <row r="598" ht="20.25" customHeight="1">
      <c r="A598" s="412"/>
      <c r="B598" s="413" t="s">
        <v>1320</v>
      </c>
      <c r="C598" s="414">
        <v>1.6</v>
      </c>
      <c r="D598" s="415">
        <v>2.4</v>
      </c>
      <c r="E598" s="416" t="s">
        <v>1701</v>
      </c>
    </row>
    <row r="599" ht="20.25" customHeight="1">
      <c r="A599" s="294"/>
      <c r="B599" s="411" t="s">
        <v>1322</v>
      </c>
      <c r="C599" s="358">
        <v>1800.0</v>
      </c>
      <c r="D599" s="359">
        <v>2500.0</v>
      </c>
      <c r="E599" s="166" t="s">
        <v>1702</v>
      </c>
    </row>
    <row r="600" ht="20.25" customHeight="1">
      <c r="A600" s="294"/>
      <c r="B600" s="413" t="s">
        <v>1324</v>
      </c>
      <c r="C600" s="417">
        <v>0.0</v>
      </c>
      <c r="D600" s="418">
        <v>600.0</v>
      </c>
      <c r="E600" s="416" t="s">
        <v>1699</v>
      </c>
    </row>
    <row r="601" ht="20.25" customHeight="1">
      <c r="A601" s="294"/>
      <c r="B601" s="411" t="s">
        <v>1326</v>
      </c>
      <c r="C601" s="352">
        <v>1.1</v>
      </c>
      <c r="D601" s="353">
        <v>1.25</v>
      </c>
      <c r="E601" s="166" t="s">
        <v>1703</v>
      </c>
    </row>
    <row r="602" ht="20.25" customHeight="1">
      <c r="A602" s="294"/>
      <c r="B602" s="413" t="s">
        <v>1328</v>
      </c>
      <c r="C602" s="417">
        <v>703.0</v>
      </c>
      <c r="D602" s="418">
        <v>750.0</v>
      </c>
      <c r="E602" s="416" t="s">
        <v>1329</v>
      </c>
    </row>
    <row r="603" ht="20.25" customHeight="1">
      <c r="A603" s="373"/>
      <c r="B603" s="419" t="s">
        <v>1330</v>
      </c>
      <c r="C603" s="375" t="s">
        <v>1267</v>
      </c>
      <c r="D603" s="376" t="s">
        <v>588</v>
      </c>
      <c r="E603" s="384" t="s">
        <v>1329</v>
      </c>
    </row>
    <row r="604" ht="20.25" customHeight="1">
      <c r="A604" s="410" t="s">
        <v>802</v>
      </c>
      <c r="B604" s="411" t="s">
        <v>1318</v>
      </c>
      <c r="C604" s="352">
        <v>0.35</v>
      </c>
      <c r="D604" s="353">
        <v>0.65</v>
      </c>
      <c r="E604" s="166" t="s">
        <v>1704</v>
      </c>
    </row>
    <row r="605" ht="20.25" customHeight="1">
      <c r="A605" s="412"/>
      <c r="B605" s="413" t="s">
        <v>1320</v>
      </c>
      <c r="C605" s="414">
        <v>0.6</v>
      </c>
      <c r="D605" s="415">
        <v>1.3</v>
      </c>
      <c r="E605" s="416" t="s">
        <v>1334</v>
      </c>
    </row>
    <row r="606" ht="20.25" customHeight="1">
      <c r="A606" s="294"/>
      <c r="B606" s="411" t="s">
        <v>1322</v>
      </c>
      <c r="C606" s="358">
        <v>1800.0</v>
      </c>
      <c r="D606" s="359">
        <v>2200.0</v>
      </c>
      <c r="E606" s="166" t="s">
        <v>1705</v>
      </c>
    </row>
    <row r="607" ht="20.25" customHeight="1">
      <c r="A607" s="294"/>
      <c r="B607" s="413" t="s">
        <v>1324</v>
      </c>
      <c r="C607" s="417">
        <v>0.0</v>
      </c>
      <c r="D607" s="418">
        <v>50.0</v>
      </c>
      <c r="E607" s="416" t="s">
        <v>1706</v>
      </c>
    </row>
    <row r="608" ht="20.25" customHeight="1">
      <c r="A608" s="294"/>
      <c r="B608" s="411" t="s">
        <v>1326</v>
      </c>
      <c r="C608" s="352">
        <v>1.0</v>
      </c>
      <c r="D608" s="353">
        <v>1.5</v>
      </c>
      <c r="E608" s="166" t="s">
        <v>1707</v>
      </c>
    </row>
    <row r="609" ht="20.25" customHeight="1">
      <c r="A609" s="294"/>
      <c r="B609" s="413" t="s">
        <v>1328</v>
      </c>
      <c r="C609" s="417">
        <v>605.0</v>
      </c>
      <c r="D609" s="418">
        <v>650.0</v>
      </c>
      <c r="E609" s="416" t="s">
        <v>1329</v>
      </c>
    </row>
    <row r="610" ht="20.25" customHeight="1">
      <c r="A610" s="373"/>
      <c r="B610" s="419" t="s">
        <v>1330</v>
      </c>
      <c r="C610" s="375" t="s">
        <v>488</v>
      </c>
      <c r="D610" s="376" t="s">
        <v>1420</v>
      </c>
      <c r="E610" s="384" t="s">
        <v>1708</v>
      </c>
    </row>
    <row r="611" ht="20.25" customHeight="1">
      <c r="A611" s="410" t="s">
        <v>761</v>
      </c>
      <c r="B611" s="411" t="s">
        <v>1318</v>
      </c>
      <c r="C611" s="352">
        <v>0.8</v>
      </c>
      <c r="D611" s="353">
        <v>0.95</v>
      </c>
      <c r="E611" s="166" t="s">
        <v>1709</v>
      </c>
    </row>
    <row r="612" ht="20.25" customHeight="1">
      <c r="A612" s="412"/>
      <c r="B612" s="413" t="s">
        <v>1320</v>
      </c>
      <c r="C612" s="414">
        <v>1.8</v>
      </c>
      <c r="D612" s="415">
        <v>2.6</v>
      </c>
      <c r="E612" s="416" t="s">
        <v>1710</v>
      </c>
    </row>
    <row r="613" ht="20.25" customHeight="1">
      <c r="A613" s="294"/>
      <c r="B613" s="411" t="s">
        <v>1322</v>
      </c>
      <c r="C613" s="358">
        <v>2000.0</v>
      </c>
      <c r="D613" s="359">
        <v>2600.0</v>
      </c>
      <c r="E613" s="166" t="s">
        <v>1711</v>
      </c>
    </row>
    <row r="614" ht="20.25" customHeight="1">
      <c r="A614" s="294"/>
      <c r="B614" s="413" t="s">
        <v>1324</v>
      </c>
      <c r="C614" s="417">
        <v>0.0</v>
      </c>
      <c r="D614" s="418">
        <v>250.0</v>
      </c>
      <c r="E614" s="416" t="s">
        <v>1712</v>
      </c>
    </row>
    <row r="615" ht="20.25" customHeight="1">
      <c r="A615" s="294"/>
      <c r="B615" s="411" t="s">
        <v>1326</v>
      </c>
      <c r="C615" s="352">
        <v>1.1</v>
      </c>
      <c r="D615" s="353">
        <v>1.2</v>
      </c>
      <c r="E615" s="166" t="s">
        <v>1713</v>
      </c>
    </row>
    <row r="616" ht="20.25" customHeight="1">
      <c r="A616" s="294"/>
      <c r="B616" s="413" t="s">
        <v>1328</v>
      </c>
      <c r="C616" s="417">
        <v>538.0</v>
      </c>
      <c r="D616" s="418">
        <v>550.0</v>
      </c>
      <c r="E616" s="416" t="s">
        <v>1329</v>
      </c>
    </row>
    <row r="617" ht="20.25" customHeight="1">
      <c r="A617" s="373"/>
      <c r="B617" s="419" t="s">
        <v>1330</v>
      </c>
      <c r="C617" s="375" t="s">
        <v>1267</v>
      </c>
      <c r="D617" s="376" t="s">
        <v>588</v>
      </c>
      <c r="E617" s="384" t="s">
        <v>1329</v>
      </c>
    </row>
    <row r="618" ht="20.25" customHeight="1">
      <c r="A618" s="410" t="s">
        <v>737</v>
      </c>
      <c r="B618" s="411" t="s">
        <v>1318</v>
      </c>
      <c r="C618" s="352">
        <v>0.35</v>
      </c>
      <c r="D618" s="353">
        <v>0.9</v>
      </c>
      <c r="E618" s="166" t="s">
        <v>1714</v>
      </c>
    </row>
    <row r="619" ht="20.25" customHeight="1">
      <c r="A619" s="412"/>
      <c r="B619" s="413" t="s">
        <v>1320</v>
      </c>
      <c r="C619" s="414">
        <v>0.6</v>
      </c>
      <c r="D619" s="415">
        <v>1.8</v>
      </c>
      <c r="E619" s="416" t="s">
        <v>1334</v>
      </c>
    </row>
    <row r="620" ht="20.25" customHeight="1">
      <c r="A620" s="294"/>
      <c r="B620" s="411" t="s">
        <v>1322</v>
      </c>
      <c r="C620" s="358">
        <v>1700.0</v>
      </c>
      <c r="D620" s="359">
        <v>2600.0</v>
      </c>
      <c r="E620" s="166" t="s">
        <v>1715</v>
      </c>
    </row>
    <row r="621" ht="20.25" customHeight="1">
      <c r="A621" s="294"/>
      <c r="B621" s="413" t="s">
        <v>1324</v>
      </c>
      <c r="C621" s="417">
        <v>0.0</v>
      </c>
      <c r="D621" s="418">
        <v>1000.0</v>
      </c>
      <c r="E621" s="416" t="s">
        <v>1716</v>
      </c>
    </row>
    <row r="622" ht="20.25" customHeight="1">
      <c r="A622" s="294"/>
      <c r="B622" s="411" t="s">
        <v>1326</v>
      </c>
      <c r="C622" s="352">
        <v>1.0</v>
      </c>
      <c r="D622" s="353">
        <v>1.6</v>
      </c>
      <c r="E622" s="166" t="s">
        <v>1717</v>
      </c>
    </row>
    <row r="623" ht="20.25" customHeight="1">
      <c r="A623" s="294"/>
      <c r="B623" s="413" t="s">
        <v>1328</v>
      </c>
      <c r="C623" s="417">
        <v>628.0</v>
      </c>
      <c r="D623" s="418">
        <v>650.0</v>
      </c>
      <c r="E623" s="416" t="s">
        <v>1329</v>
      </c>
    </row>
    <row r="624" ht="20.25" customHeight="1">
      <c r="A624" s="373"/>
      <c r="B624" s="419" t="s">
        <v>1330</v>
      </c>
      <c r="C624" s="375" t="s">
        <v>488</v>
      </c>
      <c r="D624" s="376" t="s">
        <v>1718</v>
      </c>
      <c r="E624" s="384" t="s">
        <v>1719</v>
      </c>
    </row>
    <row r="625" ht="20.25" customHeight="1">
      <c r="A625" s="410" t="s">
        <v>788</v>
      </c>
      <c r="B625" s="411" t="s">
        <v>1318</v>
      </c>
      <c r="C625" s="352">
        <v>0.35</v>
      </c>
      <c r="D625" s="353">
        <v>0.5</v>
      </c>
      <c r="E625" s="166" t="s">
        <v>1355</v>
      </c>
    </row>
    <row r="626" ht="20.25" customHeight="1">
      <c r="A626" s="412"/>
      <c r="B626" s="413" t="s">
        <v>1320</v>
      </c>
      <c r="C626" s="414">
        <v>0.5</v>
      </c>
      <c r="D626" s="415">
        <v>1.0</v>
      </c>
      <c r="E626" s="416" t="s">
        <v>1720</v>
      </c>
    </row>
    <row r="627" ht="20.25" customHeight="1">
      <c r="A627" s="294"/>
      <c r="B627" s="411" t="s">
        <v>1322</v>
      </c>
      <c r="C627" s="358">
        <v>1400.0</v>
      </c>
      <c r="D627" s="359">
        <v>2000.0</v>
      </c>
      <c r="E627" s="166" t="s">
        <v>1721</v>
      </c>
    </row>
    <row r="628" ht="20.25" customHeight="1">
      <c r="A628" s="294"/>
      <c r="B628" s="413" t="s">
        <v>1324</v>
      </c>
      <c r="C628" s="417">
        <v>0.0</v>
      </c>
      <c r="D628" s="418">
        <v>1000.0</v>
      </c>
      <c r="E628" s="416" t="s">
        <v>1716</v>
      </c>
    </row>
    <row r="629" ht="20.25" customHeight="1">
      <c r="A629" s="294"/>
      <c r="B629" s="411" t="s">
        <v>1326</v>
      </c>
      <c r="C629" s="352">
        <v>1.6</v>
      </c>
      <c r="D629" s="353">
        <v>1.8</v>
      </c>
      <c r="E629" s="166" t="s">
        <v>1722</v>
      </c>
    </row>
    <row r="630" ht="20.25" customHeight="1">
      <c r="A630" s="294"/>
      <c r="B630" s="413" t="s">
        <v>1328</v>
      </c>
      <c r="C630" s="417">
        <v>751.0</v>
      </c>
      <c r="D630" s="418">
        <v>800.0</v>
      </c>
      <c r="E630" s="416" t="s">
        <v>1329</v>
      </c>
    </row>
    <row r="631" ht="20.25" customHeight="1">
      <c r="A631" s="373"/>
      <c r="B631" s="419" t="s">
        <v>1330</v>
      </c>
      <c r="C631" s="375" t="s">
        <v>1338</v>
      </c>
      <c r="D631" s="376" t="s">
        <v>1370</v>
      </c>
      <c r="E631" s="384" t="s">
        <v>1723</v>
      </c>
    </row>
    <row r="632" ht="20.25" customHeight="1">
      <c r="A632" s="410" t="s">
        <v>744</v>
      </c>
      <c r="B632" s="411" t="s">
        <v>1318</v>
      </c>
      <c r="C632" s="352">
        <v>0.8</v>
      </c>
      <c r="D632" s="353">
        <v>0.95</v>
      </c>
      <c r="E632" s="166" t="s">
        <v>1697</v>
      </c>
    </row>
    <row r="633" ht="20.25" customHeight="1">
      <c r="A633" s="412"/>
      <c r="B633" s="413" t="s">
        <v>1320</v>
      </c>
      <c r="C633" s="414">
        <v>1.6</v>
      </c>
      <c r="D633" s="415">
        <v>2.1</v>
      </c>
      <c r="E633" s="416" t="s">
        <v>1321</v>
      </c>
    </row>
    <row r="634" ht="20.25" customHeight="1">
      <c r="A634" s="294"/>
      <c r="B634" s="411" t="s">
        <v>1322</v>
      </c>
      <c r="C634" s="358">
        <v>2000.0</v>
      </c>
      <c r="D634" s="359">
        <v>2400.0</v>
      </c>
      <c r="E634" s="166" t="s">
        <v>1724</v>
      </c>
    </row>
    <row r="635" ht="20.25" customHeight="1">
      <c r="A635" s="294"/>
      <c r="B635" s="413" t="s">
        <v>1324</v>
      </c>
      <c r="C635" s="417">
        <v>0.0</v>
      </c>
      <c r="D635" s="418">
        <v>1000.0</v>
      </c>
      <c r="E635" s="416" t="s">
        <v>1696</v>
      </c>
    </row>
    <row r="636" ht="20.25" customHeight="1">
      <c r="A636" s="294"/>
      <c r="B636" s="411" t="s">
        <v>1326</v>
      </c>
      <c r="C636" s="352">
        <v>1.0</v>
      </c>
      <c r="D636" s="353">
        <v>1.25</v>
      </c>
      <c r="E636" s="166" t="s">
        <v>1725</v>
      </c>
    </row>
    <row r="637" ht="20.25" customHeight="1">
      <c r="A637" s="294"/>
      <c r="B637" s="413" t="s">
        <v>1328</v>
      </c>
      <c r="C637" s="417">
        <v>615.0</v>
      </c>
      <c r="D637" s="418">
        <v>650.0</v>
      </c>
      <c r="E637" s="416" t="s">
        <v>1329</v>
      </c>
    </row>
    <row r="638" ht="20.25" customHeight="1">
      <c r="A638" s="373"/>
      <c r="B638" s="419" t="s">
        <v>1330</v>
      </c>
      <c r="C638" s="375" t="s">
        <v>1158</v>
      </c>
      <c r="D638" s="376" t="s">
        <v>1267</v>
      </c>
      <c r="E638" s="384" t="s">
        <v>1329</v>
      </c>
    </row>
    <row r="639" ht="20.25" customHeight="1">
      <c r="A639" s="410" t="s">
        <v>814</v>
      </c>
      <c r="B639" s="411" t="s">
        <v>1318</v>
      </c>
      <c r="C639" s="352">
        <v>0.8</v>
      </c>
      <c r="D639" s="353">
        <v>0.95</v>
      </c>
      <c r="E639" s="166" t="s">
        <v>1726</v>
      </c>
    </row>
    <row r="640" ht="20.25" customHeight="1">
      <c r="A640" s="412"/>
      <c r="B640" s="413" t="s">
        <v>1320</v>
      </c>
      <c r="C640" s="414">
        <v>1.6</v>
      </c>
      <c r="D640" s="415">
        <v>2.0</v>
      </c>
      <c r="E640" s="416" t="s">
        <v>1727</v>
      </c>
    </row>
    <row r="641" ht="20.25" customHeight="1">
      <c r="A641" s="294"/>
      <c r="B641" s="411" t="s">
        <v>1322</v>
      </c>
      <c r="C641" s="358">
        <v>1900.0</v>
      </c>
      <c r="D641" s="359">
        <v>2200.0</v>
      </c>
      <c r="E641" s="166" t="s">
        <v>1728</v>
      </c>
    </row>
    <row r="642" ht="20.25" customHeight="1">
      <c r="A642" s="294"/>
      <c r="B642" s="413" t="s">
        <v>1324</v>
      </c>
      <c r="C642" s="417">
        <v>0.0</v>
      </c>
      <c r="D642" s="418">
        <v>1000.0</v>
      </c>
      <c r="E642" s="416" t="s">
        <v>1696</v>
      </c>
    </row>
    <row r="643" ht="20.25" customHeight="1">
      <c r="A643" s="294"/>
      <c r="B643" s="411" t="s">
        <v>1326</v>
      </c>
      <c r="C643" s="352">
        <v>1.1</v>
      </c>
      <c r="D643" s="353">
        <v>1.25</v>
      </c>
      <c r="E643" s="166" t="s">
        <v>1729</v>
      </c>
    </row>
    <row r="644" ht="20.25" customHeight="1">
      <c r="A644" s="294"/>
      <c r="B644" s="413" t="s">
        <v>1328</v>
      </c>
      <c r="C644" s="417">
        <v>587.0</v>
      </c>
      <c r="D644" s="418">
        <v>600.0</v>
      </c>
      <c r="E644" s="416" t="s">
        <v>1329</v>
      </c>
    </row>
    <row r="645" ht="20.25" customHeight="1">
      <c r="A645" s="373"/>
      <c r="B645" s="419" t="s">
        <v>1330</v>
      </c>
      <c r="C645" s="375" t="s">
        <v>425</v>
      </c>
      <c r="D645" s="376" t="s">
        <v>1158</v>
      </c>
      <c r="E645" s="384" t="s">
        <v>1329</v>
      </c>
    </row>
    <row r="646" ht="20.25" customHeight="1">
      <c r="A646" s="410" t="s">
        <v>796</v>
      </c>
      <c r="B646" s="411" t="s">
        <v>1318</v>
      </c>
      <c r="C646" s="352">
        <v>0.8</v>
      </c>
      <c r="D646" s="353">
        <v>0.95</v>
      </c>
      <c r="E646" s="166" t="s">
        <v>1681</v>
      </c>
    </row>
    <row r="647" ht="20.25" customHeight="1">
      <c r="A647" s="412"/>
      <c r="B647" s="413" t="s">
        <v>1320</v>
      </c>
      <c r="C647" s="414">
        <v>1.8</v>
      </c>
      <c r="D647" s="415">
        <v>2.5</v>
      </c>
      <c r="E647" s="416" t="s">
        <v>1485</v>
      </c>
    </row>
    <row r="648" ht="20.25" customHeight="1">
      <c r="A648" s="294"/>
      <c r="B648" s="411" t="s">
        <v>1322</v>
      </c>
      <c r="C648" s="358">
        <v>1050.0</v>
      </c>
      <c r="D648" s="359">
        <v>1450.0</v>
      </c>
      <c r="E648" s="166" t="s">
        <v>1730</v>
      </c>
    </row>
    <row r="649" ht="20.25" customHeight="1">
      <c r="A649" s="294"/>
      <c r="B649" s="413" t="s">
        <v>1324</v>
      </c>
      <c r="C649" s="417">
        <v>0.0</v>
      </c>
      <c r="D649" s="418">
        <v>600.0</v>
      </c>
      <c r="E649" s="416" t="s">
        <v>1699</v>
      </c>
    </row>
    <row r="650" ht="20.25" customHeight="1">
      <c r="A650" s="294"/>
      <c r="B650" s="411" t="s">
        <v>1326</v>
      </c>
      <c r="C650" s="352">
        <v>1.0</v>
      </c>
      <c r="D650" s="353">
        <v>1.25</v>
      </c>
      <c r="E650" s="166" t="s">
        <v>1731</v>
      </c>
    </row>
    <row r="651" ht="20.25" customHeight="1">
      <c r="A651" s="294"/>
      <c r="B651" s="413" t="s">
        <v>1328</v>
      </c>
      <c r="C651" s="417">
        <v>876.0</v>
      </c>
      <c r="D651" s="418">
        <v>900.0</v>
      </c>
      <c r="E651" s="416" t="s">
        <v>1329</v>
      </c>
    </row>
    <row r="652" ht="20.25" customHeight="1">
      <c r="A652" s="373"/>
      <c r="B652" s="419" t="s">
        <v>1330</v>
      </c>
      <c r="C652" s="375" t="s">
        <v>414</v>
      </c>
      <c r="D652" s="376" t="s">
        <v>1371</v>
      </c>
      <c r="E652" s="384" t="s">
        <v>1732</v>
      </c>
    </row>
    <row r="653" ht="20.25" customHeight="1">
      <c r="A653" s="410" t="s">
        <v>776</v>
      </c>
      <c r="B653" s="411" t="s">
        <v>1318</v>
      </c>
      <c r="C653" s="352">
        <v>0.3</v>
      </c>
      <c r="D653" s="353">
        <v>0.5</v>
      </c>
      <c r="E653" s="166" t="s">
        <v>1733</v>
      </c>
    </row>
    <row r="654" ht="20.25" customHeight="1">
      <c r="A654" s="412"/>
      <c r="B654" s="413" t="s">
        <v>1320</v>
      </c>
      <c r="C654" s="414">
        <v>0.5</v>
      </c>
      <c r="D654" s="415">
        <v>1.0</v>
      </c>
      <c r="E654" s="416" t="s">
        <v>1334</v>
      </c>
    </row>
    <row r="655" ht="20.25" customHeight="1">
      <c r="A655" s="294"/>
      <c r="B655" s="411" t="s">
        <v>1322</v>
      </c>
      <c r="C655" s="358">
        <v>1300.0</v>
      </c>
      <c r="D655" s="359">
        <v>1700.0</v>
      </c>
      <c r="E655" s="166" t="s">
        <v>1734</v>
      </c>
    </row>
    <row r="656" ht="20.25" customHeight="1">
      <c r="A656" s="294"/>
      <c r="B656" s="413" t="s">
        <v>1324</v>
      </c>
      <c r="C656" s="417">
        <v>0.0</v>
      </c>
      <c r="D656" s="418">
        <v>1000.0</v>
      </c>
      <c r="E656" s="416" t="s">
        <v>1716</v>
      </c>
    </row>
    <row r="657" ht="20.25" customHeight="1">
      <c r="A657" s="294"/>
      <c r="B657" s="411" t="s">
        <v>1326</v>
      </c>
      <c r="C657" s="352">
        <v>1.6</v>
      </c>
      <c r="D657" s="353">
        <v>1.8</v>
      </c>
      <c r="E657" s="166" t="s">
        <v>1735</v>
      </c>
    </row>
    <row r="658" ht="20.25" customHeight="1">
      <c r="A658" s="294"/>
      <c r="B658" s="413" t="s">
        <v>1328</v>
      </c>
      <c r="C658" s="417">
        <v>2000.0</v>
      </c>
      <c r="D658" s="418">
        <v>2400.0</v>
      </c>
      <c r="E658" s="416" t="s">
        <v>1736</v>
      </c>
    </row>
    <row r="659" ht="20.25" customHeight="1">
      <c r="A659" s="373"/>
      <c r="B659" s="419" t="s">
        <v>1330</v>
      </c>
      <c r="C659" s="375" t="s">
        <v>1267</v>
      </c>
      <c r="D659" s="376" t="s">
        <v>588</v>
      </c>
      <c r="E659" s="384" t="s">
        <v>1329</v>
      </c>
    </row>
    <row r="660" ht="20.25" customHeight="1">
      <c r="A660" s="410" t="s">
        <v>731</v>
      </c>
      <c r="B660" s="411" t="s">
        <v>1318</v>
      </c>
      <c r="C660" s="352">
        <v>0.8</v>
      </c>
      <c r="D660" s="353">
        <v>0.95</v>
      </c>
      <c r="E660" s="166" t="s">
        <v>1697</v>
      </c>
    </row>
    <row r="661" ht="20.25" customHeight="1">
      <c r="A661" s="412"/>
      <c r="B661" s="413" t="s">
        <v>1320</v>
      </c>
      <c r="C661" s="414">
        <v>1.7</v>
      </c>
      <c r="D661" s="415">
        <v>2.1</v>
      </c>
      <c r="E661" s="416" t="s">
        <v>1321</v>
      </c>
    </row>
    <row r="662" ht="20.25" customHeight="1">
      <c r="A662" s="294"/>
      <c r="B662" s="411" t="s">
        <v>1322</v>
      </c>
      <c r="C662" s="358">
        <v>1800.0</v>
      </c>
      <c r="D662" s="359">
        <v>2600.0</v>
      </c>
      <c r="E662" s="166" t="s">
        <v>1702</v>
      </c>
    </row>
    <row r="663" ht="20.25" customHeight="1">
      <c r="A663" s="294"/>
      <c r="B663" s="413" t="s">
        <v>1324</v>
      </c>
      <c r="C663" s="417">
        <v>0.0</v>
      </c>
      <c r="D663" s="418">
        <v>1000.0</v>
      </c>
      <c r="E663" s="416" t="s">
        <v>1696</v>
      </c>
    </row>
    <row r="664" ht="20.25" customHeight="1">
      <c r="A664" s="294"/>
      <c r="B664" s="411" t="s">
        <v>1326</v>
      </c>
      <c r="C664" s="352">
        <v>1.1</v>
      </c>
      <c r="D664" s="353">
        <v>1.25</v>
      </c>
      <c r="E664" s="166" t="s">
        <v>1737</v>
      </c>
    </row>
    <row r="665" ht="20.25" customHeight="1">
      <c r="A665" s="294"/>
      <c r="B665" s="413" t="s">
        <v>1328</v>
      </c>
      <c r="C665" s="417">
        <v>784.0</v>
      </c>
      <c r="D665" s="418">
        <v>800.0</v>
      </c>
      <c r="E665" s="416" t="s">
        <v>1329</v>
      </c>
    </row>
    <row r="666" ht="20.25" customHeight="1">
      <c r="A666" s="373"/>
      <c r="B666" s="419" t="s">
        <v>1330</v>
      </c>
      <c r="C666" s="375" t="s">
        <v>1338</v>
      </c>
      <c r="D666" s="376" t="s">
        <v>1331</v>
      </c>
      <c r="E666" s="384" t="s">
        <v>1329</v>
      </c>
    </row>
    <row r="667" ht="20.25" customHeight="1">
      <c r="A667" s="410" t="s">
        <v>809</v>
      </c>
      <c r="B667" s="411" t="s">
        <v>1318</v>
      </c>
      <c r="C667" s="352">
        <v>0.35</v>
      </c>
      <c r="D667" s="353">
        <v>0.5</v>
      </c>
      <c r="E667" s="166" t="s">
        <v>1355</v>
      </c>
    </row>
    <row r="668" ht="20.25" customHeight="1">
      <c r="A668" s="412"/>
      <c r="B668" s="413" t="s">
        <v>1320</v>
      </c>
      <c r="C668" s="414">
        <v>0.5</v>
      </c>
      <c r="D668" s="415">
        <v>1.0</v>
      </c>
      <c r="E668" s="416" t="s">
        <v>1334</v>
      </c>
    </row>
    <row r="669" ht="20.25" customHeight="1">
      <c r="A669" s="294"/>
      <c r="B669" s="411" t="s">
        <v>1322</v>
      </c>
      <c r="C669" s="358">
        <v>2200.0</v>
      </c>
      <c r="D669" s="359">
        <v>2500.0</v>
      </c>
      <c r="E669" s="166" t="s">
        <v>1738</v>
      </c>
    </row>
    <row r="670" ht="20.25" customHeight="1">
      <c r="A670" s="294"/>
      <c r="B670" s="413" t="s">
        <v>1324</v>
      </c>
      <c r="C670" s="417">
        <v>0.0</v>
      </c>
      <c r="D670" s="418">
        <v>300.0</v>
      </c>
      <c r="E670" s="416" t="s">
        <v>1739</v>
      </c>
    </row>
    <row r="671" ht="20.25" customHeight="1">
      <c r="A671" s="294"/>
      <c r="B671" s="411" t="s">
        <v>1326</v>
      </c>
      <c r="C671" s="352">
        <v>1.5</v>
      </c>
      <c r="D671" s="353">
        <v>1.6</v>
      </c>
      <c r="E671" s="166" t="s">
        <v>1740</v>
      </c>
    </row>
    <row r="672" ht="20.25" customHeight="1">
      <c r="A672" s="294"/>
      <c r="B672" s="413" t="s">
        <v>1328</v>
      </c>
      <c r="C672" s="417">
        <v>601.0</v>
      </c>
      <c r="D672" s="418">
        <v>650.0</v>
      </c>
      <c r="E672" s="416" t="s">
        <v>1329</v>
      </c>
    </row>
    <row r="673" ht="20.25" customHeight="1">
      <c r="A673" s="373"/>
      <c r="B673" s="419" t="s">
        <v>1330</v>
      </c>
      <c r="C673" s="375" t="s">
        <v>425</v>
      </c>
      <c r="D673" s="376" t="s">
        <v>1158</v>
      </c>
      <c r="E673" s="384" t="s">
        <v>1329</v>
      </c>
    </row>
    <row r="674" ht="20.25" customHeight="1">
      <c r="A674" s="410" t="s">
        <v>782</v>
      </c>
      <c r="B674" s="411" t="s">
        <v>1318</v>
      </c>
      <c r="C674" s="352">
        <v>0.6</v>
      </c>
      <c r="D674" s="353">
        <v>0.75</v>
      </c>
      <c r="E674" s="166" t="s">
        <v>1741</v>
      </c>
    </row>
    <row r="675" ht="20.25" customHeight="1">
      <c r="A675" s="412"/>
      <c r="B675" s="413" t="s">
        <v>1320</v>
      </c>
      <c r="C675" s="414">
        <v>1.2</v>
      </c>
      <c r="D675" s="415">
        <v>1.5</v>
      </c>
      <c r="E675" s="416" t="s">
        <v>1742</v>
      </c>
    </row>
    <row r="676" ht="20.25" customHeight="1">
      <c r="A676" s="294"/>
      <c r="B676" s="411" t="s">
        <v>1322</v>
      </c>
      <c r="C676" s="358">
        <v>1700.0</v>
      </c>
      <c r="D676" s="359">
        <v>2200.0</v>
      </c>
      <c r="E676" s="166" t="s">
        <v>1743</v>
      </c>
    </row>
    <row r="677" ht="20.25" customHeight="1">
      <c r="A677" s="294"/>
      <c r="B677" s="413" t="s">
        <v>1324</v>
      </c>
      <c r="C677" s="417">
        <v>100.0</v>
      </c>
      <c r="D677" s="418">
        <v>1000.0</v>
      </c>
      <c r="E677" s="416" t="s">
        <v>1744</v>
      </c>
    </row>
    <row r="678" ht="20.25" customHeight="1">
      <c r="A678" s="294"/>
      <c r="B678" s="411" t="s">
        <v>1326</v>
      </c>
      <c r="C678" s="352">
        <v>2.0</v>
      </c>
      <c r="D678" s="353">
        <v>2.5</v>
      </c>
      <c r="E678" s="166" t="s">
        <v>1745</v>
      </c>
    </row>
    <row r="679" ht="20.25" customHeight="1">
      <c r="A679" s="294"/>
      <c r="B679" s="413" t="s">
        <v>1328</v>
      </c>
      <c r="C679" s="417">
        <v>669.0</v>
      </c>
      <c r="D679" s="418">
        <v>700.0</v>
      </c>
      <c r="E679" s="416" t="s">
        <v>1329</v>
      </c>
    </row>
    <row r="680" ht="20.25" customHeight="1">
      <c r="A680" s="373"/>
      <c r="B680" s="419" t="s">
        <v>1330</v>
      </c>
      <c r="C680" s="375" t="s">
        <v>1158</v>
      </c>
      <c r="D680" s="376" t="s">
        <v>1267</v>
      </c>
      <c r="E680" s="384" t="s">
        <v>1329</v>
      </c>
    </row>
    <row r="681" ht="20.25" customHeight="1">
      <c r="A681" s="410" t="s">
        <v>756</v>
      </c>
      <c r="B681" s="411" t="s">
        <v>1318</v>
      </c>
      <c r="C681" s="352">
        <v>0.8</v>
      </c>
      <c r="D681" s="353">
        <v>0.95</v>
      </c>
      <c r="E681" s="166" t="s">
        <v>1726</v>
      </c>
    </row>
    <row r="682" ht="20.25" customHeight="1">
      <c r="A682" s="412"/>
      <c r="B682" s="413" t="s">
        <v>1320</v>
      </c>
      <c r="C682" s="414">
        <v>1.6</v>
      </c>
      <c r="D682" s="415">
        <v>2.0</v>
      </c>
      <c r="E682" s="416" t="s">
        <v>1727</v>
      </c>
    </row>
    <row r="683" ht="20.25" customHeight="1">
      <c r="A683" s="294"/>
      <c r="B683" s="411" t="s">
        <v>1322</v>
      </c>
      <c r="C683" s="358">
        <v>2000.0</v>
      </c>
      <c r="D683" s="359">
        <v>2300.0</v>
      </c>
      <c r="E683" s="166" t="s">
        <v>1728</v>
      </c>
    </row>
    <row r="684" ht="20.25" customHeight="1">
      <c r="A684" s="294"/>
      <c r="B684" s="413" t="s">
        <v>1324</v>
      </c>
      <c r="C684" s="417">
        <v>0.0</v>
      </c>
      <c r="D684" s="418">
        <v>1000.0</v>
      </c>
      <c r="E684" s="416" t="s">
        <v>1696</v>
      </c>
    </row>
    <row r="685" ht="20.25" customHeight="1">
      <c r="A685" s="294"/>
      <c r="B685" s="411" t="s">
        <v>1326</v>
      </c>
      <c r="C685" s="352">
        <v>1.1</v>
      </c>
      <c r="D685" s="353">
        <v>1.25</v>
      </c>
      <c r="E685" s="166" t="s">
        <v>1729</v>
      </c>
    </row>
    <row r="686" ht="20.25" customHeight="1">
      <c r="A686" s="294"/>
      <c r="B686" s="413" t="s">
        <v>1328</v>
      </c>
      <c r="C686" s="417">
        <v>615.0</v>
      </c>
      <c r="D686" s="418">
        <v>650.0</v>
      </c>
      <c r="E686" s="416" t="s">
        <v>1329</v>
      </c>
    </row>
    <row r="687" ht="20.25" customHeight="1">
      <c r="A687" s="373"/>
      <c r="B687" s="419" t="s">
        <v>1330</v>
      </c>
      <c r="C687" s="375" t="s">
        <v>1158</v>
      </c>
      <c r="D687" s="376" t="s">
        <v>1267</v>
      </c>
      <c r="E687" s="384" t="s">
        <v>1329</v>
      </c>
    </row>
    <row r="688" ht="20.25" customHeight="1">
      <c r="A688" s="410" t="s">
        <v>717</v>
      </c>
      <c r="B688" s="411" t="s">
        <v>1318</v>
      </c>
      <c r="C688" s="352">
        <v>0.35</v>
      </c>
      <c r="D688" s="353">
        <v>0.4</v>
      </c>
      <c r="E688" s="166" t="s">
        <v>1355</v>
      </c>
    </row>
    <row r="689" ht="20.25" customHeight="1">
      <c r="A689" s="412"/>
      <c r="B689" s="413" t="s">
        <v>1320</v>
      </c>
      <c r="C689" s="414">
        <v>0.5</v>
      </c>
      <c r="D689" s="415">
        <v>0.8</v>
      </c>
      <c r="E689" s="416" t="s">
        <v>1746</v>
      </c>
    </row>
    <row r="690" ht="20.25" customHeight="1">
      <c r="A690" s="294"/>
      <c r="B690" s="411" t="s">
        <v>1322</v>
      </c>
      <c r="C690" s="358">
        <v>1250.0</v>
      </c>
      <c r="D690" s="359">
        <v>1750.0</v>
      </c>
      <c r="E690" s="166" t="s">
        <v>1747</v>
      </c>
    </row>
    <row r="691" ht="20.25" customHeight="1">
      <c r="A691" s="294"/>
      <c r="B691" s="413" t="s">
        <v>1324</v>
      </c>
      <c r="C691" s="417">
        <v>0.0</v>
      </c>
      <c r="D691" s="418">
        <v>250.0</v>
      </c>
      <c r="E691" s="416" t="s">
        <v>1748</v>
      </c>
    </row>
    <row r="692" ht="20.25" customHeight="1">
      <c r="A692" s="294"/>
      <c r="B692" s="411" t="s">
        <v>1326</v>
      </c>
      <c r="C692" s="352">
        <v>2.0</v>
      </c>
      <c r="D692" s="353">
        <v>2.5</v>
      </c>
      <c r="E692" s="166" t="s">
        <v>1749</v>
      </c>
    </row>
    <row r="693" ht="20.25" customHeight="1">
      <c r="A693" s="294"/>
      <c r="B693" s="413" t="s">
        <v>1328</v>
      </c>
      <c r="C693" s="417">
        <v>771.0</v>
      </c>
      <c r="D693" s="418">
        <v>800.0</v>
      </c>
      <c r="E693" s="416" t="s">
        <v>1329</v>
      </c>
    </row>
    <row r="694" ht="20.25" customHeight="1">
      <c r="A694" s="373"/>
      <c r="B694" s="419" t="s">
        <v>1330</v>
      </c>
      <c r="C694" s="375" t="s">
        <v>1332</v>
      </c>
      <c r="D694" s="376" t="s">
        <v>455</v>
      </c>
      <c r="E694" s="384" t="s">
        <v>1750</v>
      </c>
    </row>
    <row r="695" ht="20.25" customHeight="1">
      <c r="A695" s="410" t="s">
        <v>821</v>
      </c>
      <c r="B695" s="411" t="s">
        <v>1318</v>
      </c>
      <c r="C695" s="352">
        <v>0.8</v>
      </c>
      <c r="D695" s="353">
        <v>0.95</v>
      </c>
      <c r="E695" s="166" t="s">
        <v>1751</v>
      </c>
    </row>
    <row r="696" ht="20.25" customHeight="1">
      <c r="A696" s="412"/>
      <c r="B696" s="413" t="s">
        <v>1320</v>
      </c>
      <c r="C696" s="414">
        <v>1.6</v>
      </c>
      <c r="D696" s="415">
        <v>2.0</v>
      </c>
      <c r="E696" s="416" t="s">
        <v>1752</v>
      </c>
    </row>
    <row r="697" ht="20.25" customHeight="1">
      <c r="A697" s="294"/>
      <c r="B697" s="411" t="s">
        <v>1322</v>
      </c>
      <c r="C697" s="358">
        <v>2500.0</v>
      </c>
      <c r="D697" s="359" t="s">
        <v>1753</v>
      </c>
      <c r="E697" s="166" t="s">
        <v>1754</v>
      </c>
    </row>
    <row r="698" ht="20.25" customHeight="1">
      <c r="A698" s="294"/>
      <c r="B698" s="413" t="s">
        <v>1324</v>
      </c>
      <c r="C698" s="417">
        <v>0.0</v>
      </c>
      <c r="D698" s="418">
        <v>250.0</v>
      </c>
      <c r="E698" s="416" t="s">
        <v>1755</v>
      </c>
    </row>
    <row r="699" ht="20.25" customHeight="1">
      <c r="A699" s="294"/>
      <c r="B699" s="411" t="s">
        <v>1326</v>
      </c>
      <c r="C699" s="352">
        <v>1.1</v>
      </c>
      <c r="D699" s="353">
        <v>1.2</v>
      </c>
      <c r="E699" s="166" t="s">
        <v>1756</v>
      </c>
    </row>
    <row r="700" ht="20.25" customHeight="1">
      <c r="A700" s="294"/>
      <c r="B700" s="413" t="s">
        <v>1328</v>
      </c>
      <c r="C700" s="417">
        <v>822.0</v>
      </c>
      <c r="D700" s="418">
        <v>850.0</v>
      </c>
      <c r="E700" s="416" t="s">
        <v>1329</v>
      </c>
    </row>
    <row r="701" ht="20.25" customHeight="1">
      <c r="A701" s="373"/>
      <c r="B701" s="419" t="s">
        <v>1330</v>
      </c>
      <c r="C701" s="375" t="s">
        <v>588</v>
      </c>
      <c r="D701" s="376" t="s">
        <v>1338</v>
      </c>
      <c r="E701" s="384" t="s">
        <v>1329</v>
      </c>
    </row>
    <row r="702" ht="20.25" customHeight="1">
      <c r="A702" s="420" t="s">
        <v>1239</v>
      </c>
      <c r="B702" s="411" t="s">
        <v>1318</v>
      </c>
      <c r="C702" s="352">
        <v>0.85</v>
      </c>
      <c r="D702" s="353">
        <v>0.96</v>
      </c>
      <c r="E702" s="166" t="s">
        <v>1757</v>
      </c>
    </row>
    <row r="703" ht="20.25" customHeight="1">
      <c r="A703" s="421"/>
      <c r="B703" s="422" t="s">
        <v>1320</v>
      </c>
      <c r="C703" s="423">
        <v>1.7</v>
      </c>
      <c r="D703" s="424">
        <v>2.4</v>
      </c>
      <c r="E703" s="272" t="s">
        <v>1758</v>
      </c>
    </row>
    <row r="704" ht="20.25" customHeight="1">
      <c r="A704" s="294"/>
      <c r="B704" s="411" t="s">
        <v>1322</v>
      </c>
      <c r="C704" s="358">
        <v>2100.0</v>
      </c>
      <c r="D704" s="359">
        <v>3100.0</v>
      </c>
      <c r="E704" s="166" t="s">
        <v>1759</v>
      </c>
    </row>
    <row r="705" ht="20.25" customHeight="1">
      <c r="A705" s="294"/>
      <c r="B705" s="422" t="s">
        <v>1324</v>
      </c>
      <c r="C705" s="425">
        <v>0.0</v>
      </c>
      <c r="D705" s="426">
        <v>100.0</v>
      </c>
      <c r="E705" s="272" t="s">
        <v>1760</v>
      </c>
    </row>
    <row r="706" ht="20.25" customHeight="1">
      <c r="A706" s="294"/>
      <c r="B706" s="411" t="s">
        <v>1326</v>
      </c>
      <c r="C706" s="352">
        <v>1.1</v>
      </c>
      <c r="D706" s="353">
        <v>1.3</v>
      </c>
      <c r="E706" s="166" t="s">
        <v>1761</v>
      </c>
    </row>
    <row r="707" ht="20.25" customHeight="1">
      <c r="A707" s="294"/>
      <c r="B707" s="422" t="s">
        <v>1328</v>
      </c>
      <c r="C707" s="425">
        <v>802.0</v>
      </c>
      <c r="D707" s="426">
        <v>850.0</v>
      </c>
      <c r="E707" s="272" t="s">
        <v>1329</v>
      </c>
    </row>
    <row r="708" ht="20.25" customHeight="1">
      <c r="A708" s="373"/>
      <c r="B708" s="419" t="s">
        <v>1330</v>
      </c>
      <c r="C708" s="375" t="s">
        <v>1338</v>
      </c>
      <c r="D708" s="376" t="s">
        <v>1331</v>
      </c>
      <c r="E708" s="384" t="s">
        <v>1329</v>
      </c>
    </row>
    <row r="709" ht="20.25" customHeight="1">
      <c r="A709" s="420" t="s">
        <v>1244</v>
      </c>
      <c r="B709" s="411" t="s">
        <v>1318</v>
      </c>
      <c r="C709" s="352">
        <v>0.8</v>
      </c>
      <c r="D709" s="353">
        <v>0.95</v>
      </c>
      <c r="E709" s="166" t="s">
        <v>1762</v>
      </c>
    </row>
    <row r="710" ht="20.25" customHeight="1">
      <c r="A710" s="421"/>
      <c r="B710" s="422" t="s">
        <v>1320</v>
      </c>
      <c r="C710" s="423">
        <v>1.7</v>
      </c>
      <c r="D710" s="424">
        <v>2.0</v>
      </c>
      <c r="E710" s="272" t="s">
        <v>1334</v>
      </c>
    </row>
    <row r="711" ht="20.25" customHeight="1">
      <c r="A711" s="294"/>
      <c r="B711" s="411" t="s">
        <v>1322</v>
      </c>
      <c r="C711" s="358">
        <v>2100.0</v>
      </c>
      <c r="D711" s="359">
        <v>2600.0</v>
      </c>
      <c r="E711" s="166" t="s">
        <v>1763</v>
      </c>
    </row>
    <row r="712" ht="20.25" customHeight="1">
      <c r="A712" s="294"/>
      <c r="B712" s="422" t="s">
        <v>1324</v>
      </c>
      <c r="C712" s="425">
        <v>0.0</v>
      </c>
      <c r="D712" s="426">
        <v>100.0</v>
      </c>
      <c r="E712" s="272" t="s">
        <v>1764</v>
      </c>
    </row>
    <row r="713" ht="20.25" customHeight="1">
      <c r="A713" s="294"/>
      <c r="B713" s="411" t="s">
        <v>1326</v>
      </c>
      <c r="C713" s="352">
        <v>1.1</v>
      </c>
      <c r="D713" s="353">
        <v>1.3</v>
      </c>
      <c r="E713" s="166" t="s">
        <v>1765</v>
      </c>
    </row>
    <row r="714" ht="20.25" customHeight="1">
      <c r="A714" s="294"/>
      <c r="B714" s="422" t="s">
        <v>1328</v>
      </c>
      <c r="C714" s="425">
        <v>730.0</v>
      </c>
      <c r="D714" s="426">
        <v>750.0</v>
      </c>
      <c r="E714" s="272" t="s">
        <v>1329</v>
      </c>
    </row>
    <row r="715" ht="20.25" customHeight="1">
      <c r="A715" s="373"/>
      <c r="B715" s="419" t="s">
        <v>1330</v>
      </c>
      <c r="C715" s="375" t="s">
        <v>588</v>
      </c>
      <c r="D715" s="376" t="s">
        <v>1338</v>
      </c>
      <c r="E715" s="384" t="s">
        <v>1329</v>
      </c>
    </row>
    <row r="716" ht="20.25" customHeight="1">
      <c r="A716" s="420" t="s">
        <v>1255</v>
      </c>
      <c r="B716" s="411" t="s">
        <v>1318</v>
      </c>
      <c r="C716" s="352">
        <v>0.35</v>
      </c>
      <c r="D716" s="353">
        <v>0.5</v>
      </c>
      <c r="E716" s="166" t="s">
        <v>1766</v>
      </c>
    </row>
    <row r="717" ht="20.25" customHeight="1">
      <c r="A717" s="421"/>
      <c r="B717" s="422" t="s">
        <v>1320</v>
      </c>
      <c r="C717" s="423">
        <v>0.6</v>
      </c>
      <c r="D717" s="424">
        <v>1.0</v>
      </c>
      <c r="E717" s="272" t="s">
        <v>1767</v>
      </c>
    </row>
    <row r="718" ht="20.25" customHeight="1">
      <c r="A718" s="294"/>
      <c r="B718" s="411" t="s">
        <v>1322</v>
      </c>
      <c r="C718" s="358">
        <v>1100.0</v>
      </c>
      <c r="D718" s="359">
        <v>1250.0</v>
      </c>
      <c r="E718" s="166" t="s">
        <v>1768</v>
      </c>
    </row>
    <row r="719" ht="20.25" customHeight="1">
      <c r="A719" s="294"/>
      <c r="B719" s="422" t="s">
        <v>1324</v>
      </c>
      <c r="C719" s="425">
        <v>50.0</v>
      </c>
      <c r="D719" s="426">
        <v>350.0</v>
      </c>
      <c r="E719" s="272" t="s">
        <v>1769</v>
      </c>
    </row>
    <row r="720" ht="20.25" customHeight="1">
      <c r="A720" s="294"/>
      <c r="B720" s="411" t="s">
        <v>1326</v>
      </c>
      <c r="C720" s="352">
        <v>1.4</v>
      </c>
      <c r="D720" s="353">
        <v>2.0</v>
      </c>
      <c r="E720" s="166" t="s">
        <v>1770</v>
      </c>
    </row>
    <row r="721" ht="20.25" customHeight="1">
      <c r="A721" s="294"/>
      <c r="B721" s="422" t="s">
        <v>1328</v>
      </c>
      <c r="C721" s="425">
        <v>546.0</v>
      </c>
      <c r="D721" s="426">
        <v>600.0</v>
      </c>
      <c r="E721" s="272" t="s">
        <v>1329</v>
      </c>
    </row>
    <row r="722" ht="20.25" customHeight="1">
      <c r="A722" s="373"/>
      <c r="B722" s="419" t="s">
        <v>1330</v>
      </c>
      <c r="C722" s="375" t="s">
        <v>1420</v>
      </c>
      <c r="D722" s="376" t="s">
        <v>548</v>
      </c>
      <c r="E722" s="384" t="s">
        <v>1771</v>
      </c>
    </row>
    <row r="723" ht="20.25" customHeight="1">
      <c r="A723" s="420" t="s">
        <v>1270</v>
      </c>
      <c r="B723" s="411" t="s">
        <v>1318</v>
      </c>
      <c r="C723" s="352">
        <v>0.5</v>
      </c>
      <c r="D723" s="353">
        <v>0.75</v>
      </c>
      <c r="E723" s="166" t="s">
        <v>1772</v>
      </c>
    </row>
    <row r="724" ht="20.25" customHeight="1">
      <c r="A724" s="421"/>
      <c r="B724" s="422" t="s">
        <v>1320</v>
      </c>
      <c r="C724" s="423">
        <v>1.0</v>
      </c>
      <c r="D724" s="424">
        <v>1.5</v>
      </c>
      <c r="E724" s="272" t="s">
        <v>1773</v>
      </c>
    </row>
    <row r="725" ht="20.25" customHeight="1">
      <c r="A725" s="294"/>
      <c r="B725" s="411" t="s">
        <v>1322</v>
      </c>
      <c r="C725" s="358">
        <v>1450.0</v>
      </c>
      <c r="D725" s="359">
        <v>2300.0</v>
      </c>
      <c r="E725" s="166" t="s">
        <v>1774</v>
      </c>
    </row>
    <row r="726" ht="20.25" customHeight="1">
      <c r="A726" s="294"/>
      <c r="B726" s="422" t="s">
        <v>1324</v>
      </c>
      <c r="C726" s="425">
        <v>100.0</v>
      </c>
      <c r="D726" s="426">
        <v>800.0</v>
      </c>
      <c r="E726" s="272" t="s">
        <v>1775</v>
      </c>
    </row>
    <row r="727" ht="20.25" customHeight="1">
      <c r="A727" s="294"/>
      <c r="B727" s="411" t="s">
        <v>1326</v>
      </c>
      <c r="C727" s="352">
        <v>1.4</v>
      </c>
      <c r="D727" s="353">
        <v>2.0</v>
      </c>
      <c r="E727" s="166" t="s">
        <v>1776</v>
      </c>
    </row>
    <row r="728" ht="20.25" customHeight="1">
      <c r="A728" s="294"/>
      <c r="B728" s="422" t="s">
        <v>1328</v>
      </c>
      <c r="C728" s="425">
        <v>751.0</v>
      </c>
      <c r="D728" s="426">
        <v>800.0</v>
      </c>
      <c r="E728" s="272" t="s">
        <v>1329</v>
      </c>
    </row>
    <row r="729" ht="20.25" customHeight="1">
      <c r="A729" s="373"/>
      <c r="B729" s="419" t="s">
        <v>1330</v>
      </c>
      <c r="C729" s="375" t="s">
        <v>588</v>
      </c>
      <c r="D729" s="376" t="s">
        <v>1338</v>
      </c>
      <c r="E729" s="384" t="s">
        <v>1329</v>
      </c>
    </row>
    <row r="730" ht="20.25" customHeight="1">
      <c r="A730" s="420" t="s">
        <v>1262</v>
      </c>
      <c r="B730" s="411" t="s">
        <v>1318</v>
      </c>
      <c r="C730" s="352">
        <v>0.35</v>
      </c>
      <c r="D730" s="353">
        <v>0.4</v>
      </c>
      <c r="E730" s="166" t="s">
        <v>1355</v>
      </c>
    </row>
    <row r="731" ht="20.25" customHeight="1">
      <c r="A731" s="421"/>
      <c r="B731" s="422" t="s">
        <v>1320</v>
      </c>
      <c r="C731" s="423">
        <v>0.5</v>
      </c>
      <c r="D731" s="424">
        <v>0.6</v>
      </c>
      <c r="E731" s="272" t="s">
        <v>1777</v>
      </c>
    </row>
    <row r="732" ht="20.25" customHeight="1">
      <c r="A732" s="294"/>
      <c r="B732" s="411" t="s">
        <v>1322</v>
      </c>
      <c r="C732" s="358">
        <v>1100.0</v>
      </c>
      <c r="D732" s="359">
        <v>1300.0</v>
      </c>
      <c r="E732" s="166" t="s">
        <v>1778</v>
      </c>
    </row>
    <row r="733" ht="20.25" customHeight="1">
      <c r="A733" s="294"/>
      <c r="B733" s="422" t="s">
        <v>1324</v>
      </c>
      <c r="C733" s="425">
        <v>0.0</v>
      </c>
      <c r="D733" s="426">
        <v>200.0</v>
      </c>
      <c r="E733" s="272" t="s">
        <v>1779</v>
      </c>
    </row>
    <row r="734" ht="20.25" customHeight="1">
      <c r="A734" s="294"/>
      <c r="B734" s="411" t="s">
        <v>1326</v>
      </c>
      <c r="C734" s="352">
        <v>1.8</v>
      </c>
      <c r="D734" s="353">
        <v>2.3</v>
      </c>
      <c r="E734" s="166" t="s">
        <v>1776</v>
      </c>
    </row>
    <row r="735" ht="20.25" customHeight="1">
      <c r="A735" s="294"/>
      <c r="B735" s="422" t="s">
        <v>1328</v>
      </c>
      <c r="C735" s="425">
        <v>500.0</v>
      </c>
      <c r="D735" s="426">
        <v>550.0</v>
      </c>
      <c r="E735" s="272" t="s">
        <v>1329</v>
      </c>
    </row>
    <row r="736" ht="20.25" customHeight="1">
      <c r="A736" s="373"/>
      <c r="B736" s="419" t="s">
        <v>1330</v>
      </c>
      <c r="C736" s="375" t="s">
        <v>1414</v>
      </c>
      <c r="D736" s="376" t="s">
        <v>548</v>
      </c>
      <c r="E736" s="384" t="s">
        <v>1780</v>
      </c>
    </row>
    <row r="737" ht="20.25" customHeight="1">
      <c r="A737" s="420" t="s">
        <v>1250</v>
      </c>
      <c r="B737" s="411" t="s">
        <v>1318</v>
      </c>
      <c r="C737" s="352">
        <v>0.35</v>
      </c>
      <c r="D737" s="353">
        <v>0.6</v>
      </c>
      <c r="E737" s="166" t="s">
        <v>1781</v>
      </c>
    </row>
    <row r="738" ht="20.25" customHeight="1">
      <c r="A738" s="421"/>
      <c r="B738" s="422" t="s">
        <v>1320</v>
      </c>
      <c r="C738" s="423">
        <v>0.6</v>
      </c>
      <c r="D738" s="424">
        <v>1.2</v>
      </c>
      <c r="E738" s="272" t="s">
        <v>1334</v>
      </c>
    </row>
    <row r="739" ht="20.25" customHeight="1">
      <c r="A739" s="294"/>
      <c r="B739" s="411" t="s">
        <v>1322</v>
      </c>
      <c r="C739" s="358">
        <v>1200.0</v>
      </c>
      <c r="D739" s="359">
        <v>1700.0</v>
      </c>
      <c r="E739" s="166" t="s">
        <v>1782</v>
      </c>
    </row>
    <row r="740" ht="20.25" customHeight="1">
      <c r="A740" s="294"/>
      <c r="B740" s="422" t="s">
        <v>1324</v>
      </c>
      <c r="C740" s="425">
        <v>50.0</v>
      </c>
      <c r="D740" s="426">
        <v>900.0</v>
      </c>
      <c r="E740" s="272" t="s">
        <v>1783</v>
      </c>
    </row>
    <row r="741" ht="20.25" customHeight="1">
      <c r="A741" s="294"/>
      <c r="B741" s="411" t="s">
        <v>1326</v>
      </c>
      <c r="C741" s="352">
        <v>1.0</v>
      </c>
      <c r="D741" s="353">
        <v>1.6</v>
      </c>
      <c r="E741" s="166" t="s">
        <v>1784</v>
      </c>
    </row>
    <row r="742" ht="20.25" customHeight="1">
      <c r="A742" s="294"/>
      <c r="B742" s="422" t="s">
        <v>1328</v>
      </c>
      <c r="C742" s="425">
        <v>751.0</v>
      </c>
      <c r="D742" s="426">
        <v>800.0</v>
      </c>
      <c r="E742" s="272" t="s">
        <v>1329</v>
      </c>
    </row>
    <row r="743" ht="20.25" customHeight="1">
      <c r="A743" s="373"/>
      <c r="B743" s="419" t="s">
        <v>1330</v>
      </c>
      <c r="C743" s="375" t="s">
        <v>1584</v>
      </c>
      <c r="D743" s="376" t="s">
        <v>1414</v>
      </c>
      <c r="E743" s="384" t="s">
        <v>1785</v>
      </c>
    </row>
    <row r="744" ht="20.25" customHeight="1">
      <c r="A744" s="420" t="s">
        <v>1276</v>
      </c>
      <c r="B744" s="411" t="s">
        <v>1318</v>
      </c>
      <c r="C744" s="352">
        <v>0.8</v>
      </c>
      <c r="D744" s="353">
        <v>0.95</v>
      </c>
      <c r="E744" s="166" t="s">
        <v>1786</v>
      </c>
    </row>
    <row r="745" ht="20.25" customHeight="1">
      <c r="A745" s="421"/>
      <c r="B745" s="422" t="s">
        <v>1320</v>
      </c>
      <c r="C745" s="423">
        <v>1.6</v>
      </c>
      <c r="D745" s="424">
        <v>1.9</v>
      </c>
      <c r="E745" s="272" t="s">
        <v>1787</v>
      </c>
    </row>
    <row r="746" ht="20.25" customHeight="1">
      <c r="A746" s="294"/>
      <c r="B746" s="411" t="s">
        <v>1322</v>
      </c>
      <c r="C746" s="358">
        <v>1300.0</v>
      </c>
      <c r="D746" s="359">
        <v>1700.0</v>
      </c>
      <c r="E746" s="166" t="s">
        <v>1788</v>
      </c>
    </row>
    <row r="747" ht="20.25" customHeight="1">
      <c r="A747" s="294"/>
      <c r="B747" s="422" t="s">
        <v>1324</v>
      </c>
      <c r="C747" s="425">
        <v>300.0</v>
      </c>
      <c r="D747" s="426">
        <v>400.0</v>
      </c>
      <c r="E747" s="272" t="s">
        <v>1789</v>
      </c>
    </row>
    <row r="748" ht="20.25" customHeight="1">
      <c r="A748" s="294"/>
      <c r="B748" s="411" t="s">
        <v>1326</v>
      </c>
      <c r="C748" s="352">
        <v>1.0</v>
      </c>
      <c r="D748" s="353">
        <v>1.25</v>
      </c>
      <c r="E748" s="166" t="s">
        <v>1790</v>
      </c>
    </row>
    <row r="749" ht="20.25" customHeight="1">
      <c r="A749" s="294"/>
      <c r="B749" s="422" t="s">
        <v>1328</v>
      </c>
      <c r="C749" s="425">
        <v>782.0</v>
      </c>
      <c r="D749" s="426">
        <v>800.0</v>
      </c>
      <c r="E749" s="272" t="s">
        <v>1329</v>
      </c>
    </row>
    <row r="750" ht="20.25" customHeight="1">
      <c r="A750" s="373"/>
      <c r="B750" s="419" t="s">
        <v>1330</v>
      </c>
      <c r="C750" s="375" t="s">
        <v>1338</v>
      </c>
      <c r="D750" s="376" t="s">
        <v>1331</v>
      </c>
      <c r="E750" s="384" t="s">
        <v>1329</v>
      </c>
    </row>
    <row r="751" ht="20.25" customHeight="1">
      <c r="A751" s="420" t="s">
        <v>1281</v>
      </c>
      <c r="B751" s="411" t="s">
        <v>1318</v>
      </c>
      <c r="C751" s="352">
        <v>0.5</v>
      </c>
      <c r="D751" s="353">
        <v>0.8</v>
      </c>
      <c r="E751" s="166" t="s">
        <v>1791</v>
      </c>
    </row>
    <row r="752" ht="20.25" customHeight="1">
      <c r="A752" s="421"/>
      <c r="B752" s="422" t="s">
        <v>1320</v>
      </c>
      <c r="C752" s="423">
        <v>1.0</v>
      </c>
      <c r="D752" s="424">
        <v>1.6</v>
      </c>
      <c r="E752" s="272" t="s">
        <v>1334</v>
      </c>
    </row>
    <row r="753" ht="20.25" customHeight="1">
      <c r="A753" s="294"/>
      <c r="B753" s="411" t="s">
        <v>1322</v>
      </c>
      <c r="C753" s="358">
        <v>1200.0</v>
      </c>
      <c r="D753" s="359">
        <v>1350.0</v>
      </c>
      <c r="E753" s="166" t="s">
        <v>1792</v>
      </c>
    </row>
    <row r="754" ht="20.25" customHeight="1">
      <c r="A754" s="294"/>
      <c r="B754" s="422" t="s">
        <v>1324</v>
      </c>
      <c r="C754" s="425">
        <v>900.0</v>
      </c>
      <c r="D754" s="426">
        <v>1000.0</v>
      </c>
      <c r="E754" s="272" t="s">
        <v>1793</v>
      </c>
    </row>
    <row r="755" ht="20.25" customHeight="1">
      <c r="A755" s="294"/>
      <c r="B755" s="411" t="s">
        <v>1326</v>
      </c>
      <c r="C755" s="352">
        <v>1.0</v>
      </c>
      <c r="D755" s="353">
        <v>1.2</v>
      </c>
      <c r="E755" s="166" t="s">
        <v>1794</v>
      </c>
    </row>
    <row r="756" ht="20.25" customHeight="1">
      <c r="A756" s="294"/>
      <c r="B756" s="422" t="s">
        <v>1328</v>
      </c>
      <c r="C756" s="425">
        <v>630.0</v>
      </c>
      <c r="D756" s="426">
        <v>666.0</v>
      </c>
      <c r="E756" s="272" t="s">
        <v>1329</v>
      </c>
    </row>
    <row r="757" ht="20.25" customHeight="1">
      <c r="A757" s="373"/>
      <c r="B757" s="419" t="s">
        <v>1330</v>
      </c>
      <c r="C757" s="375" t="s">
        <v>1158</v>
      </c>
      <c r="D757" s="376" t="s">
        <v>1267</v>
      </c>
      <c r="E757" s="384" t="s">
        <v>1329</v>
      </c>
    </row>
    <row r="758" ht="20.25" customHeight="1">
      <c r="A758" s="420" t="s">
        <v>1287</v>
      </c>
      <c r="B758" s="411" t="s">
        <v>1318</v>
      </c>
      <c r="C758" s="352">
        <v>0.4</v>
      </c>
      <c r="D758" s="353">
        <v>0.6</v>
      </c>
      <c r="E758" s="166" t="s">
        <v>1795</v>
      </c>
    </row>
    <row r="759" ht="20.25" customHeight="1">
      <c r="A759" s="421"/>
      <c r="B759" s="422" t="s">
        <v>1320</v>
      </c>
      <c r="C759" s="423">
        <v>0.8</v>
      </c>
      <c r="D759" s="424">
        <v>1.2</v>
      </c>
      <c r="E759" s="272" t="s">
        <v>1334</v>
      </c>
    </row>
    <row r="760" ht="20.25" customHeight="1">
      <c r="A760" s="294"/>
      <c r="B760" s="411" t="s">
        <v>1322</v>
      </c>
      <c r="C760" s="358">
        <v>1500.0</v>
      </c>
      <c r="D760" s="359">
        <v>2000.0</v>
      </c>
      <c r="E760" s="166" t="s">
        <v>1796</v>
      </c>
    </row>
    <row r="761" ht="20.25" customHeight="1">
      <c r="A761" s="294"/>
      <c r="B761" s="422" t="s">
        <v>1324</v>
      </c>
      <c r="C761" s="425">
        <v>100.0</v>
      </c>
      <c r="D761" s="426">
        <v>300.0</v>
      </c>
      <c r="E761" s="272" t="s">
        <v>1797</v>
      </c>
    </row>
    <row r="762" ht="20.25" customHeight="1">
      <c r="A762" s="294"/>
      <c r="B762" s="411" t="s">
        <v>1326</v>
      </c>
      <c r="C762" s="352">
        <v>1.6</v>
      </c>
      <c r="D762" s="353">
        <v>1.8</v>
      </c>
      <c r="E762" s="166" t="s">
        <v>1798</v>
      </c>
    </row>
    <row r="763" ht="20.25" customHeight="1">
      <c r="A763" s="294"/>
      <c r="B763" s="422" t="s">
        <v>1328</v>
      </c>
      <c r="C763" s="425">
        <v>601.0</v>
      </c>
      <c r="D763" s="426">
        <v>650.0</v>
      </c>
      <c r="E763" s="272" t="s">
        <v>1329</v>
      </c>
    </row>
    <row r="764" ht="20.25" customHeight="1">
      <c r="A764" s="373"/>
      <c r="B764" s="419" t="s">
        <v>1330</v>
      </c>
      <c r="C764" s="375" t="s">
        <v>1158</v>
      </c>
      <c r="D764" s="376" t="s">
        <v>1267</v>
      </c>
      <c r="E764" s="384" t="s">
        <v>1329</v>
      </c>
    </row>
    <row r="765" ht="20.25" customHeight="1">
      <c r="A765" s="420" t="s">
        <v>1292</v>
      </c>
      <c r="B765" s="411" t="s">
        <v>1318</v>
      </c>
      <c r="C765" s="352">
        <v>0.8</v>
      </c>
      <c r="D765" s="353">
        <v>0.95</v>
      </c>
      <c r="E765" s="166" t="s">
        <v>1786</v>
      </c>
    </row>
    <row r="766" ht="20.25" customHeight="1">
      <c r="A766" s="421"/>
      <c r="B766" s="422" t="s">
        <v>1320</v>
      </c>
      <c r="C766" s="423">
        <v>1.6</v>
      </c>
      <c r="D766" s="424">
        <v>1.9</v>
      </c>
      <c r="E766" s="272" t="s">
        <v>1787</v>
      </c>
    </row>
    <row r="767" ht="20.25" customHeight="1">
      <c r="A767" s="294"/>
      <c r="B767" s="411" t="s">
        <v>1322</v>
      </c>
      <c r="C767" s="358">
        <v>1300.0</v>
      </c>
      <c r="D767" s="359">
        <v>1800.0</v>
      </c>
      <c r="E767" s="166" t="s">
        <v>1799</v>
      </c>
    </row>
    <row r="768" ht="20.25" customHeight="1">
      <c r="A768" s="294"/>
      <c r="B768" s="422" t="s">
        <v>1324</v>
      </c>
      <c r="C768" s="425">
        <v>300.0</v>
      </c>
      <c r="D768" s="426">
        <v>400.0</v>
      </c>
      <c r="E768" s="272" t="s">
        <v>1789</v>
      </c>
    </row>
    <row r="769" ht="20.25" customHeight="1">
      <c r="A769" s="294"/>
      <c r="B769" s="411" t="s">
        <v>1326</v>
      </c>
      <c r="C769" s="352">
        <v>1.1</v>
      </c>
      <c r="D769" s="353">
        <v>1.25</v>
      </c>
      <c r="E769" s="166" t="s">
        <v>1800</v>
      </c>
    </row>
    <row r="770" ht="20.25" customHeight="1">
      <c r="A770" s="294"/>
      <c r="B770" s="422" t="s">
        <v>1328</v>
      </c>
      <c r="C770" s="425">
        <v>630.0</v>
      </c>
      <c r="D770" s="426">
        <v>666.0</v>
      </c>
      <c r="E770" s="272" t="s">
        <v>1329</v>
      </c>
    </row>
    <row r="771" ht="20.25" customHeight="1">
      <c r="A771" s="373"/>
      <c r="B771" s="419" t="s">
        <v>1330</v>
      </c>
      <c r="C771" s="375" t="s">
        <v>1267</v>
      </c>
      <c r="D771" s="376" t="s">
        <v>588</v>
      </c>
      <c r="E771" s="384" t="s">
        <v>1329</v>
      </c>
    </row>
    <row r="772" ht="20.25" customHeight="1">
      <c r="A772" s="420" t="s">
        <v>1801</v>
      </c>
      <c r="B772" s="411" t="s">
        <v>1318</v>
      </c>
      <c r="C772" s="352">
        <v>0.5</v>
      </c>
      <c r="D772" s="353">
        <v>0.75</v>
      </c>
      <c r="E772" s="166" t="s">
        <v>1802</v>
      </c>
    </row>
    <row r="773" ht="20.25" customHeight="1">
      <c r="A773" s="421"/>
      <c r="B773" s="422" t="s">
        <v>1320</v>
      </c>
      <c r="C773" s="423">
        <v>1.0</v>
      </c>
      <c r="D773" s="424">
        <v>1.5</v>
      </c>
      <c r="E773" s="272" t="s">
        <v>1803</v>
      </c>
    </row>
    <row r="774" ht="20.25" customHeight="1">
      <c r="A774" s="294"/>
      <c r="B774" s="411" t="s">
        <v>1322</v>
      </c>
      <c r="C774" s="358">
        <v>1300.0</v>
      </c>
      <c r="D774" s="359">
        <v>1700.0</v>
      </c>
      <c r="E774" s="166" t="s">
        <v>1804</v>
      </c>
    </row>
    <row r="775" ht="20.25" customHeight="1">
      <c r="A775" s="294"/>
      <c r="B775" s="422" t="s">
        <v>1324</v>
      </c>
      <c r="C775" s="425">
        <v>300.0</v>
      </c>
      <c r="D775" s="426">
        <v>400.0</v>
      </c>
      <c r="E775" s="272" t="s">
        <v>1805</v>
      </c>
    </row>
    <row r="776" ht="20.25" customHeight="1">
      <c r="A776" s="294"/>
      <c r="B776" s="411" t="s">
        <v>1326</v>
      </c>
      <c r="C776" s="352">
        <v>1.6</v>
      </c>
      <c r="D776" s="353">
        <v>2.0</v>
      </c>
      <c r="E776" s="166" t="s">
        <v>1806</v>
      </c>
    </row>
    <row r="777" ht="20.25" customHeight="1">
      <c r="A777" s="294"/>
      <c r="B777" s="422" t="s">
        <v>1328</v>
      </c>
      <c r="C777" s="425">
        <v>683.0</v>
      </c>
      <c r="D777" s="426">
        <v>700.0</v>
      </c>
      <c r="E777" s="272" t="s">
        <v>1329</v>
      </c>
    </row>
    <row r="778" ht="20.25" customHeight="1">
      <c r="A778" s="373"/>
      <c r="B778" s="419" t="s">
        <v>1330</v>
      </c>
      <c r="C778" s="375" t="s">
        <v>1267</v>
      </c>
      <c r="D778" s="376" t="s">
        <v>588</v>
      </c>
      <c r="E778" s="384" t="s">
        <v>1329</v>
      </c>
    </row>
    <row r="779" ht="20.25" customHeight="1">
      <c r="A779" s="420" t="s">
        <v>1304</v>
      </c>
      <c r="B779" s="411" t="s">
        <v>1318</v>
      </c>
      <c r="C779" s="352">
        <v>0.33</v>
      </c>
      <c r="D779" s="353">
        <v>0.5</v>
      </c>
      <c r="E779" s="166" t="s">
        <v>1807</v>
      </c>
    </row>
    <row r="780" ht="20.25" customHeight="1">
      <c r="A780" s="421"/>
      <c r="B780" s="422" t="s">
        <v>1320</v>
      </c>
      <c r="C780" s="423">
        <v>0.5</v>
      </c>
      <c r="D780" s="424">
        <v>1.0</v>
      </c>
      <c r="E780" s="272" t="s">
        <v>1803</v>
      </c>
    </row>
    <row r="781" ht="20.25" customHeight="1">
      <c r="A781" s="294"/>
      <c r="B781" s="411" t="s">
        <v>1322</v>
      </c>
      <c r="C781" s="358">
        <v>1200.0</v>
      </c>
      <c r="D781" s="359">
        <v>1300.0</v>
      </c>
      <c r="E781" s="166" t="s">
        <v>1808</v>
      </c>
    </row>
    <row r="782" ht="20.25" customHeight="1">
      <c r="A782" s="294"/>
      <c r="B782" s="422" t="s">
        <v>1324</v>
      </c>
      <c r="C782" s="425">
        <v>1000.0</v>
      </c>
      <c r="D782" s="426">
        <v>1300.0</v>
      </c>
      <c r="E782" s="272" t="s">
        <v>1809</v>
      </c>
    </row>
    <row r="783" ht="20.25" customHeight="1">
      <c r="A783" s="294"/>
      <c r="B783" s="411" t="s">
        <v>1326</v>
      </c>
      <c r="C783" s="352">
        <v>1.4</v>
      </c>
      <c r="D783" s="353">
        <v>2.0</v>
      </c>
      <c r="E783" s="166" t="s">
        <v>1810</v>
      </c>
    </row>
    <row r="784" ht="20.25" customHeight="1">
      <c r="A784" s="294"/>
      <c r="B784" s="422" t="s">
        <v>1328</v>
      </c>
      <c r="C784" s="425">
        <v>669.0</v>
      </c>
      <c r="D784" s="426">
        <v>700.0</v>
      </c>
      <c r="E784" s="272" t="s">
        <v>1329</v>
      </c>
    </row>
    <row r="785" ht="20.25" customHeight="1">
      <c r="A785" s="373"/>
      <c r="B785" s="419" t="s">
        <v>1330</v>
      </c>
      <c r="C785" s="375" t="s">
        <v>1158</v>
      </c>
      <c r="D785" s="376" t="s">
        <v>1267</v>
      </c>
      <c r="E785" s="384" t="s">
        <v>1329</v>
      </c>
    </row>
    <row r="786" ht="20.25" customHeight="1">
      <c r="A786" s="420" t="s">
        <v>1311</v>
      </c>
      <c r="B786" s="411" t="s">
        <v>1318</v>
      </c>
      <c r="C786" s="352">
        <v>0.9</v>
      </c>
      <c r="D786" s="353">
        <v>0.96</v>
      </c>
      <c r="E786" s="166" t="s">
        <v>1811</v>
      </c>
    </row>
    <row r="787" ht="20.25" customHeight="1">
      <c r="A787" s="421"/>
      <c r="B787" s="422" t="s">
        <v>1320</v>
      </c>
      <c r="C787" s="423">
        <v>2.0</v>
      </c>
      <c r="D787" s="424">
        <v>3.2</v>
      </c>
      <c r="E787" s="272" t="s">
        <v>1812</v>
      </c>
    </row>
    <row r="788" ht="20.25" customHeight="1">
      <c r="A788" s="294"/>
      <c r="B788" s="411" t="s">
        <v>1322</v>
      </c>
      <c r="C788" s="358">
        <v>1300.0</v>
      </c>
      <c r="D788" s="359">
        <v>1400.0</v>
      </c>
      <c r="E788" s="166" t="s">
        <v>1813</v>
      </c>
    </row>
    <row r="789" ht="20.25" customHeight="1">
      <c r="A789" s="294"/>
      <c r="B789" s="422" t="s">
        <v>1324</v>
      </c>
      <c r="C789" s="425">
        <v>800.0</v>
      </c>
      <c r="D789" s="426">
        <v>1000.0</v>
      </c>
      <c r="E789" s="272" t="s">
        <v>1814</v>
      </c>
    </row>
    <row r="790" ht="20.25" customHeight="1">
      <c r="A790" s="294"/>
      <c r="B790" s="411" t="s">
        <v>1326</v>
      </c>
      <c r="C790" s="352">
        <v>1.0</v>
      </c>
      <c r="D790" s="353">
        <v>1.2</v>
      </c>
      <c r="E790" s="166" t="s">
        <v>1815</v>
      </c>
    </row>
    <row r="791" ht="20.25" customHeight="1">
      <c r="A791" s="294"/>
      <c r="B791" s="422" t="s">
        <v>1328</v>
      </c>
      <c r="C791" s="425">
        <v>799.0</v>
      </c>
      <c r="D791" s="426">
        <v>850.0</v>
      </c>
      <c r="E791" s="272" t="s">
        <v>1329</v>
      </c>
    </row>
    <row r="792" ht="20.25" customHeight="1">
      <c r="A792" s="373"/>
      <c r="B792" s="419" t="s">
        <v>1330</v>
      </c>
      <c r="C792" s="375" t="s">
        <v>588</v>
      </c>
      <c r="D792" s="376" t="s">
        <v>1338</v>
      </c>
      <c r="E792" s="384" t="s">
        <v>1329</v>
      </c>
    </row>
  </sheetData>
  <mergeCells count="113">
    <mergeCell ref="A3:A8"/>
    <mergeCell ref="A10:A15"/>
    <mergeCell ref="A17:A22"/>
    <mergeCell ref="A24:A29"/>
    <mergeCell ref="A31:A36"/>
    <mergeCell ref="A38:A43"/>
    <mergeCell ref="A45:A50"/>
    <mergeCell ref="A52:A57"/>
    <mergeCell ref="A59:A64"/>
    <mergeCell ref="A66:A71"/>
    <mergeCell ref="A73:A78"/>
    <mergeCell ref="A80:A85"/>
    <mergeCell ref="A87:A92"/>
    <mergeCell ref="A94:A99"/>
    <mergeCell ref="A101:A106"/>
    <mergeCell ref="A108:A113"/>
    <mergeCell ref="A115:A120"/>
    <mergeCell ref="A122:A127"/>
    <mergeCell ref="A129:A134"/>
    <mergeCell ref="A136:A141"/>
    <mergeCell ref="A143:A148"/>
    <mergeCell ref="A150:A155"/>
    <mergeCell ref="A157:A162"/>
    <mergeCell ref="A164:A169"/>
    <mergeCell ref="A171:A176"/>
    <mergeCell ref="A178:A183"/>
    <mergeCell ref="A185:A190"/>
    <mergeCell ref="A192:A197"/>
    <mergeCell ref="A199:A204"/>
    <mergeCell ref="A206:A211"/>
    <mergeCell ref="A213:A218"/>
    <mergeCell ref="A220:A225"/>
    <mergeCell ref="A227:A232"/>
    <mergeCell ref="A234:A239"/>
    <mergeCell ref="A241:A246"/>
    <mergeCell ref="A248:A253"/>
    <mergeCell ref="A255:A260"/>
    <mergeCell ref="A262:A267"/>
    <mergeCell ref="A269:A274"/>
    <mergeCell ref="A276:A281"/>
    <mergeCell ref="A283:A288"/>
    <mergeCell ref="A290:A295"/>
    <mergeCell ref="A297:A302"/>
    <mergeCell ref="A304:A309"/>
    <mergeCell ref="A311:A316"/>
    <mergeCell ref="A318:A323"/>
    <mergeCell ref="A325:A330"/>
    <mergeCell ref="A332:A337"/>
    <mergeCell ref="A339:A344"/>
    <mergeCell ref="A738:A743"/>
    <mergeCell ref="A745:A750"/>
    <mergeCell ref="A752:A757"/>
    <mergeCell ref="A759:A764"/>
    <mergeCell ref="A766:A771"/>
    <mergeCell ref="A773:A778"/>
    <mergeCell ref="A780:A785"/>
    <mergeCell ref="A787:A792"/>
    <mergeCell ref="A689:A694"/>
    <mergeCell ref="A696:A701"/>
    <mergeCell ref="A703:A708"/>
    <mergeCell ref="A710:A715"/>
    <mergeCell ref="A717:A722"/>
    <mergeCell ref="A724:A729"/>
    <mergeCell ref="A731:A736"/>
    <mergeCell ref="A346:A351"/>
    <mergeCell ref="A353:A358"/>
    <mergeCell ref="A360:A365"/>
    <mergeCell ref="A367:A372"/>
    <mergeCell ref="A374:A379"/>
    <mergeCell ref="A381:A386"/>
    <mergeCell ref="A388:A393"/>
    <mergeCell ref="A395:A400"/>
    <mergeCell ref="A402:A407"/>
    <mergeCell ref="A409:A414"/>
    <mergeCell ref="A416:A421"/>
    <mergeCell ref="A423:A428"/>
    <mergeCell ref="A430:A435"/>
    <mergeCell ref="A437:A442"/>
    <mergeCell ref="A444:A449"/>
    <mergeCell ref="A451:A456"/>
    <mergeCell ref="A458:A463"/>
    <mergeCell ref="A465:A470"/>
    <mergeCell ref="A472:A477"/>
    <mergeCell ref="A479:A484"/>
    <mergeCell ref="A486:A491"/>
    <mergeCell ref="A493:A498"/>
    <mergeCell ref="A500:A505"/>
    <mergeCell ref="A507:A512"/>
    <mergeCell ref="A514:A519"/>
    <mergeCell ref="A521:A526"/>
    <mergeCell ref="A528:A533"/>
    <mergeCell ref="A535:A540"/>
    <mergeCell ref="A542:A547"/>
    <mergeCell ref="A549:A554"/>
    <mergeCell ref="A556:A561"/>
    <mergeCell ref="A563:A568"/>
    <mergeCell ref="A570:A575"/>
    <mergeCell ref="A577:A582"/>
    <mergeCell ref="A584:A589"/>
    <mergeCell ref="A591:A596"/>
    <mergeCell ref="A598:A603"/>
    <mergeCell ref="A605:A610"/>
    <mergeCell ref="A612:A617"/>
    <mergeCell ref="A619:A624"/>
    <mergeCell ref="A626:A631"/>
    <mergeCell ref="A633:A638"/>
    <mergeCell ref="A640:A645"/>
    <mergeCell ref="A647:A652"/>
    <mergeCell ref="A654:A659"/>
    <mergeCell ref="A661:A666"/>
    <mergeCell ref="A668:A673"/>
    <mergeCell ref="A675:A680"/>
    <mergeCell ref="A682:A687"/>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38"/>
    <col customWidth="1" min="2" max="4" width="14.75"/>
    <col customWidth="1" min="5" max="7" width="9.75"/>
  </cols>
  <sheetData>
    <row r="1" ht="45.75" customHeight="1">
      <c r="A1" s="89" t="s">
        <v>1816</v>
      </c>
      <c r="B1" s="427" t="s">
        <v>1817</v>
      </c>
      <c r="C1" s="87" t="s">
        <v>1818</v>
      </c>
      <c r="D1" s="427" t="s">
        <v>87</v>
      </c>
      <c r="E1" s="89" t="s">
        <v>1819</v>
      </c>
      <c r="F1" s="89" t="s">
        <v>1820</v>
      </c>
      <c r="G1" s="89" t="s">
        <v>1821</v>
      </c>
    </row>
    <row r="2" ht="57.0" customHeight="1">
      <c r="A2" s="428"/>
      <c r="B2" s="429" t="s">
        <v>1822</v>
      </c>
      <c r="C2" s="429">
        <v>133.0</v>
      </c>
      <c r="D2" s="430" t="s">
        <v>1823</v>
      </c>
      <c r="E2" s="428"/>
      <c r="F2" s="428"/>
      <c r="G2" s="428"/>
    </row>
    <row r="3" ht="57.0" customHeight="1">
      <c r="A3" s="428"/>
      <c r="B3" s="429" t="s">
        <v>1824</v>
      </c>
      <c r="C3" s="429">
        <v>120.0</v>
      </c>
      <c r="D3" s="429">
        <v>9.0</v>
      </c>
      <c r="E3" s="428"/>
      <c r="F3" s="428"/>
      <c r="G3" s="428"/>
    </row>
    <row r="4" ht="57.0" customHeight="1">
      <c r="A4" s="428"/>
      <c r="B4" s="429" t="s">
        <v>1825</v>
      </c>
      <c r="C4" s="429">
        <v>107.5</v>
      </c>
      <c r="D4" s="429">
        <v>14.5</v>
      </c>
      <c r="E4" s="428"/>
      <c r="F4" s="428"/>
      <c r="G4" s="428"/>
    </row>
    <row r="5" ht="57.0" customHeight="1">
      <c r="A5" s="428"/>
      <c r="B5" s="429" t="s">
        <v>1826</v>
      </c>
      <c r="C5" s="429">
        <v>105.0</v>
      </c>
      <c r="D5" s="431" t="s">
        <v>1823</v>
      </c>
      <c r="E5" s="428"/>
      <c r="F5" s="428"/>
      <c r="G5" s="428"/>
    </row>
    <row r="6" ht="57.0" customHeight="1">
      <c r="A6" s="428"/>
      <c r="B6" s="429" t="s">
        <v>1827</v>
      </c>
      <c r="C6" s="429">
        <v>100.0</v>
      </c>
      <c r="D6" s="429">
        <v>9.5</v>
      </c>
      <c r="E6" s="428"/>
      <c r="F6" s="428"/>
      <c r="G6" s="428"/>
    </row>
    <row r="7" ht="57.0" customHeight="1">
      <c r="A7" s="428"/>
      <c r="B7" s="429" t="s">
        <v>1828</v>
      </c>
      <c r="C7" s="429">
        <v>95.0</v>
      </c>
      <c r="D7" s="430" t="s">
        <v>1823</v>
      </c>
      <c r="E7" s="428"/>
      <c r="F7" s="428"/>
      <c r="G7" s="428"/>
    </row>
    <row r="8" ht="57.0" customHeight="1">
      <c r="A8" s="428"/>
      <c r="B8" s="429" t="s">
        <v>1829</v>
      </c>
      <c r="C8" s="429">
        <v>85.0</v>
      </c>
      <c r="D8" s="430" t="s">
        <v>1823</v>
      </c>
      <c r="E8" s="428"/>
      <c r="F8" s="428"/>
      <c r="G8" s="428"/>
    </row>
    <row r="9" ht="57.0" customHeight="1">
      <c r="A9" s="428"/>
      <c r="B9" s="429" t="s">
        <v>1830</v>
      </c>
      <c r="C9" s="429">
        <v>75.0</v>
      </c>
      <c r="D9" s="429">
        <v>7.0</v>
      </c>
      <c r="E9" s="428"/>
      <c r="F9" s="428"/>
      <c r="G9" s="428"/>
    </row>
    <row r="10" ht="57.0" customHeight="1">
      <c r="A10" s="428"/>
      <c r="B10" s="429" t="s">
        <v>1831</v>
      </c>
      <c r="C10" s="429">
        <v>75.0</v>
      </c>
      <c r="D10" s="429">
        <v>1.0</v>
      </c>
      <c r="E10" s="432"/>
      <c r="F10" s="432" t="s">
        <v>14</v>
      </c>
      <c r="G10" s="432" t="s">
        <v>14</v>
      </c>
    </row>
    <row r="11" ht="57.0" customHeight="1">
      <c r="A11" s="428"/>
      <c r="B11" s="429" t="s">
        <v>1832</v>
      </c>
      <c r="C11" s="429">
        <v>74.0</v>
      </c>
      <c r="D11" s="429">
        <v>15.0</v>
      </c>
      <c r="E11" s="428"/>
      <c r="F11" s="428"/>
      <c r="G11" s="428"/>
    </row>
    <row r="12" ht="57.0" customHeight="1">
      <c r="A12" s="428"/>
      <c r="B12" s="429" t="s">
        <v>1833</v>
      </c>
      <c r="C12" s="429">
        <v>72.0</v>
      </c>
      <c r="D12" s="429">
        <v>2.0</v>
      </c>
      <c r="E12" s="428"/>
      <c r="F12" s="428"/>
      <c r="G12" s="432" t="s">
        <v>14</v>
      </c>
    </row>
    <row r="13" ht="57.0" customHeight="1">
      <c r="A13" s="428"/>
      <c r="B13" s="429" t="s">
        <v>1834</v>
      </c>
      <c r="C13" s="429">
        <v>70.0</v>
      </c>
      <c r="D13" s="430" t="s">
        <v>1823</v>
      </c>
      <c r="E13" s="428"/>
      <c r="F13" s="428"/>
      <c r="G13" s="428"/>
    </row>
    <row r="14" ht="57.0" customHeight="1">
      <c r="A14" s="428"/>
      <c r="B14" s="429" t="s">
        <v>1835</v>
      </c>
      <c r="C14" s="429">
        <v>70.0</v>
      </c>
      <c r="D14" s="429">
        <v>9.5</v>
      </c>
      <c r="E14" s="428"/>
      <c r="F14" s="428"/>
      <c r="G14" s="428"/>
    </row>
    <row r="15" ht="57.0" customHeight="1">
      <c r="A15" s="428"/>
      <c r="B15" s="429" t="s">
        <v>1836</v>
      </c>
      <c r="C15" s="429">
        <v>70.0</v>
      </c>
      <c r="D15" s="429">
        <v>2.0</v>
      </c>
      <c r="E15" s="428"/>
      <c r="F15" s="428"/>
      <c r="G15" s="432"/>
    </row>
    <row r="16" ht="57.0" customHeight="1">
      <c r="A16" s="428"/>
      <c r="B16" s="429" t="s">
        <v>1837</v>
      </c>
      <c r="C16" s="429">
        <v>70.0</v>
      </c>
      <c r="D16" s="429">
        <v>1.0</v>
      </c>
      <c r="E16" s="432" t="s">
        <v>14</v>
      </c>
      <c r="F16" s="432" t="s">
        <v>14</v>
      </c>
      <c r="G16" s="428"/>
    </row>
    <row r="17" ht="57.0" customHeight="1">
      <c r="A17" s="428"/>
      <c r="B17" s="429" t="s">
        <v>1838</v>
      </c>
      <c r="C17" s="429">
        <v>69.0</v>
      </c>
      <c r="D17" s="431" t="s">
        <v>1823</v>
      </c>
      <c r="E17" s="428"/>
      <c r="F17" s="428"/>
      <c r="G17" s="428"/>
    </row>
    <row r="18" ht="57.0" customHeight="1">
      <c r="A18" s="428"/>
      <c r="B18" s="429" t="s">
        <v>1839</v>
      </c>
      <c r="C18" s="429">
        <v>68.0</v>
      </c>
      <c r="D18" s="433" t="s">
        <v>1823</v>
      </c>
      <c r="E18" s="428"/>
      <c r="F18" s="428"/>
      <c r="G18" s="428"/>
    </row>
    <row r="19" ht="57.0" customHeight="1">
      <c r="A19" s="428"/>
      <c r="B19" s="429" t="s">
        <v>1840</v>
      </c>
      <c r="C19" s="429">
        <v>68.0</v>
      </c>
      <c r="D19" s="431" t="s">
        <v>1823</v>
      </c>
      <c r="E19" s="428"/>
      <c r="F19" s="428"/>
      <c r="G19" s="428"/>
    </row>
    <row r="20" ht="57.0" customHeight="1">
      <c r="A20" s="428"/>
      <c r="B20" s="429" t="s">
        <v>1841</v>
      </c>
      <c r="C20" s="429">
        <v>68.0</v>
      </c>
      <c r="D20" s="429">
        <v>7.0</v>
      </c>
      <c r="E20" s="428"/>
      <c r="F20" s="428"/>
      <c r="G20" s="428"/>
    </row>
    <row r="21" ht="57.0" customHeight="1">
      <c r="A21" s="428"/>
      <c r="B21" s="429" t="s">
        <v>1842</v>
      </c>
      <c r="C21" s="429">
        <v>68.0</v>
      </c>
      <c r="D21" s="429">
        <v>2.0</v>
      </c>
      <c r="E21" s="428"/>
      <c r="F21" s="428"/>
      <c r="G21" s="432" t="s">
        <v>14</v>
      </c>
    </row>
    <row r="22" ht="57.0" customHeight="1">
      <c r="A22" s="428"/>
      <c r="B22" s="429" t="s">
        <v>1843</v>
      </c>
      <c r="C22" s="429">
        <v>67.2</v>
      </c>
      <c r="D22" s="429">
        <v>7.0</v>
      </c>
      <c r="E22" s="428"/>
      <c r="F22" s="428"/>
      <c r="G22" s="428"/>
    </row>
    <row r="23" ht="57.0" customHeight="1">
      <c r="A23" s="428"/>
      <c r="B23" s="429" t="s">
        <v>1844</v>
      </c>
      <c r="C23" s="429">
        <v>67.0</v>
      </c>
      <c r="D23" s="433" t="s">
        <v>1823</v>
      </c>
      <c r="E23" s="428"/>
      <c r="F23" s="428"/>
      <c r="G23" s="428"/>
    </row>
    <row r="24" ht="57.0" customHeight="1">
      <c r="A24" s="428"/>
      <c r="B24" s="429" t="s">
        <v>1845</v>
      </c>
      <c r="C24" s="429">
        <v>66.0</v>
      </c>
      <c r="D24" s="429">
        <v>12.0</v>
      </c>
      <c r="E24" s="428"/>
      <c r="F24" s="428"/>
      <c r="G24" s="428"/>
    </row>
    <row r="25" ht="57.0" customHeight="1">
      <c r="A25" s="428"/>
      <c r="B25" s="429" t="s">
        <v>1846</v>
      </c>
      <c r="C25" s="429">
        <v>60.0</v>
      </c>
      <c r="D25" s="431" t="s">
        <v>1823</v>
      </c>
      <c r="E25" s="428"/>
      <c r="F25" s="428"/>
      <c r="G25" s="428"/>
    </row>
    <row r="26" ht="57.0" customHeight="1">
      <c r="A26" s="428"/>
      <c r="B26" s="429" t="s">
        <v>1847</v>
      </c>
      <c r="C26" s="429">
        <v>60.0</v>
      </c>
      <c r="D26" s="429">
        <v>15.0</v>
      </c>
      <c r="E26" s="428"/>
      <c r="F26" s="428"/>
      <c r="G26" s="428"/>
    </row>
    <row r="27" ht="57.0" customHeight="1">
      <c r="A27" s="428"/>
      <c r="B27" s="429" t="s">
        <v>1848</v>
      </c>
      <c r="C27" s="429">
        <v>60.0</v>
      </c>
      <c r="D27" s="429">
        <v>12.0</v>
      </c>
      <c r="E27" s="428"/>
      <c r="F27" s="428"/>
      <c r="G27" s="428"/>
    </row>
    <row r="28" ht="57.0" customHeight="1">
      <c r="A28" s="428"/>
      <c r="B28" s="429" t="s">
        <v>1849</v>
      </c>
      <c r="C28" s="429">
        <v>60.0</v>
      </c>
      <c r="D28" s="429">
        <v>2.0</v>
      </c>
      <c r="E28" s="428"/>
      <c r="F28" s="428"/>
      <c r="G28" s="432" t="s">
        <v>14</v>
      </c>
    </row>
    <row r="29" ht="57.0" customHeight="1">
      <c r="A29" s="428"/>
      <c r="B29" s="429" t="s">
        <v>1850</v>
      </c>
      <c r="C29" s="429">
        <v>59.5</v>
      </c>
      <c r="D29" s="430" t="s">
        <v>1823</v>
      </c>
      <c r="E29" s="428"/>
      <c r="F29" s="428"/>
      <c r="G29" s="428"/>
    </row>
    <row r="30" ht="57.0" customHeight="1">
      <c r="A30" s="428"/>
      <c r="B30" s="429" t="s">
        <v>1851</v>
      </c>
      <c r="C30" s="429">
        <v>59.5</v>
      </c>
      <c r="D30" s="429">
        <v>13.0</v>
      </c>
      <c r="E30" s="428"/>
      <c r="F30" s="428"/>
      <c r="G30" s="428"/>
    </row>
    <row r="31" ht="57.0" customHeight="1">
      <c r="A31" s="428"/>
      <c r="B31" s="429" t="s">
        <v>1852</v>
      </c>
      <c r="C31" s="429">
        <v>58.0</v>
      </c>
      <c r="D31" s="429">
        <v>3.5</v>
      </c>
      <c r="E31" s="428"/>
      <c r="F31" s="428"/>
      <c r="G31" s="428"/>
    </row>
    <row r="32" ht="57.0" customHeight="1">
      <c r="A32" s="428"/>
      <c r="B32" s="429" t="s">
        <v>1853</v>
      </c>
      <c r="C32" s="429">
        <v>56.0</v>
      </c>
      <c r="D32" s="429">
        <v>6.0</v>
      </c>
      <c r="E32" s="428"/>
      <c r="F32" s="428"/>
      <c r="G32" s="428"/>
    </row>
    <row r="33" ht="57.0" customHeight="1">
      <c r="A33" s="434"/>
      <c r="B33" s="429" t="s">
        <v>1854</v>
      </c>
      <c r="C33" s="435">
        <v>55.0</v>
      </c>
      <c r="D33" s="435">
        <v>9.5</v>
      </c>
      <c r="E33" s="428"/>
      <c r="F33" s="428"/>
      <c r="G33" s="428"/>
    </row>
    <row r="34" ht="57.0" customHeight="1">
      <c r="A34" s="428"/>
      <c r="B34" s="429" t="s">
        <v>1855</v>
      </c>
      <c r="C34" s="429">
        <v>55.0</v>
      </c>
      <c r="D34" s="429">
        <v>2.0</v>
      </c>
      <c r="E34" s="428"/>
      <c r="F34" s="428"/>
      <c r="G34" s="428"/>
    </row>
    <row r="35" ht="57.0" customHeight="1">
      <c r="A35" s="432"/>
      <c r="B35" s="429" t="s">
        <v>1856</v>
      </c>
      <c r="C35" s="429">
        <v>53.0</v>
      </c>
      <c r="D35" s="429">
        <v>8.5</v>
      </c>
      <c r="E35" s="428"/>
      <c r="F35" s="428"/>
      <c r="G35" s="428"/>
    </row>
    <row r="36" ht="57.0" customHeight="1">
      <c r="A36" s="428"/>
      <c r="B36" s="429" t="s">
        <v>1857</v>
      </c>
      <c r="C36" s="429">
        <v>50.0</v>
      </c>
      <c r="D36" s="431" t="s">
        <v>1823</v>
      </c>
      <c r="E36" s="428"/>
      <c r="F36" s="428"/>
      <c r="G36" s="428"/>
    </row>
    <row r="37" ht="57.0" customHeight="1">
      <c r="A37" s="428"/>
      <c r="B37" s="429" t="s">
        <v>1858</v>
      </c>
      <c r="C37" s="429">
        <v>48.0</v>
      </c>
      <c r="D37" s="430" t="s">
        <v>1823</v>
      </c>
      <c r="E37" s="428"/>
      <c r="F37" s="428"/>
      <c r="G37" s="428"/>
    </row>
    <row r="38" ht="57.0" customHeight="1">
      <c r="A38" s="428"/>
      <c r="B38" s="429" t="s">
        <v>1859</v>
      </c>
      <c r="C38" s="429">
        <v>46.0</v>
      </c>
      <c r="D38" s="429">
        <v>7.5</v>
      </c>
      <c r="E38" s="428"/>
      <c r="F38" s="428"/>
      <c r="G38" s="428"/>
    </row>
    <row r="39" ht="57.0" customHeight="1">
      <c r="A39" s="428"/>
      <c r="B39" s="429" t="s">
        <v>1860</v>
      </c>
      <c r="C39" s="429">
        <v>45.0</v>
      </c>
      <c r="D39" s="431" t="s">
        <v>1823</v>
      </c>
      <c r="E39" s="428"/>
      <c r="F39" s="428"/>
      <c r="G39" s="428"/>
    </row>
    <row r="40" ht="57.0" customHeight="1">
      <c r="A40" s="428"/>
      <c r="B40" s="429" t="s">
        <v>1861</v>
      </c>
      <c r="C40" s="429">
        <v>45.0</v>
      </c>
      <c r="D40" s="431" t="s">
        <v>1823</v>
      </c>
      <c r="E40" s="428"/>
      <c r="F40" s="428"/>
      <c r="G40" s="428"/>
    </row>
    <row r="41" ht="57.0" customHeight="1">
      <c r="A41" s="428"/>
      <c r="B41" s="429" t="s">
        <v>1862</v>
      </c>
      <c r="C41" s="429">
        <v>45.0</v>
      </c>
      <c r="D41" s="429">
        <v>10.0</v>
      </c>
      <c r="E41" s="428"/>
      <c r="F41" s="428"/>
      <c r="G41" s="428"/>
    </row>
    <row r="42" ht="57.0" customHeight="1">
      <c r="A42" s="428"/>
      <c r="B42" s="429" t="s">
        <v>1863</v>
      </c>
      <c r="C42" s="429">
        <v>45.0</v>
      </c>
      <c r="D42" s="429">
        <v>5.0</v>
      </c>
      <c r="E42" s="428"/>
      <c r="F42" s="428"/>
      <c r="G42" s="428"/>
    </row>
    <row r="43" ht="57.0" customHeight="1">
      <c r="A43" s="428"/>
      <c r="B43" s="429" t="s">
        <v>1864</v>
      </c>
      <c r="C43" s="429">
        <v>39.5</v>
      </c>
      <c r="D43" s="430" t="s">
        <v>1823</v>
      </c>
      <c r="E43" s="428"/>
      <c r="F43" s="428"/>
      <c r="G43" s="428"/>
    </row>
  </sheetData>
  <drawing r:id="rId2"/>
  <legacyDrawing r:id="rId3"/>
  <tableParts count="1">
    <tablePart r:id="rId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5"/>
    <col customWidth="1" min="2" max="2" width="11.0"/>
    <col customWidth="1" min="3" max="3" width="12.5"/>
    <col customWidth="1" min="4" max="4" width="9.63"/>
    <col customWidth="1" min="5" max="5" width="8.75"/>
    <col customWidth="1" min="6" max="6" width="3.5"/>
    <col customWidth="1" min="7" max="7" width="11.5"/>
    <col customWidth="1" min="8" max="8" width="11.0"/>
    <col customWidth="1" min="9" max="9" width="12.5"/>
    <col customWidth="1" min="10" max="10" width="9.63"/>
    <col customWidth="1" min="11" max="11" width="8.75"/>
    <col customWidth="1" min="12" max="12" width="3.5"/>
    <col customWidth="1" min="13" max="13" width="11.5"/>
    <col customWidth="1" min="14" max="14" width="11.0"/>
    <col customWidth="1" min="15" max="15" width="12.5"/>
    <col customWidth="1" min="16" max="16" width="9.63"/>
    <col customWidth="1" min="17" max="17" width="8.75"/>
    <col customWidth="1" min="18" max="18" width="3.5"/>
    <col customWidth="1" min="19" max="19" width="11.5"/>
    <col customWidth="1" min="20" max="20" width="11.0"/>
    <col customWidth="1" min="21" max="21" width="12.5"/>
    <col customWidth="1" min="22" max="22" width="9.63"/>
    <col customWidth="1" min="23" max="23" width="8.75"/>
    <col customWidth="1" min="24" max="24" width="3.5"/>
    <col customWidth="1" min="25" max="25" width="11.5"/>
    <col customWidth="1" min="26" max="26" width="11.0"/>
    <col customWidth="1" min="27" max="27" width="12.5"/>
    <col customWidth="1" min="28" max="28" width="9.63"/>
    <col customWidth="1" min="29" max="29" width="8.75"/>
  </cols>
  <sheetData>
    <row r="1" ht="22.5" customHeight="1">
      <c r="A1" s="436" t="s">
        <v>65</v>
      </c>
      <c r="B1" s="437" t="s">
        <v>1865</v>
      </c>
      <c r="C1" s="437" t="s">
        <v>87</v>
      </c>
      <c r="D1" s="436" t="s">
        <v>566</v>
      </c>
      <c r="E1" s="437" t="s">
        <v>1866</v>
      </c>
      <c r="F1" s="438"/>
      <c r="G1" s="439" t="s">
        <v>65</v>
      </c>
      <c r="H1" s="437" t="s">
        <v>1865</v>
      </c>
      <c r="I1" s="437" t="s">
        <v>87</v>
      </c>
      <c r="J1" s="437" t="s">
        <v>566</v>
      </c>
      <c r="K1" s="440" t="s">
        <v>1866</v>
      </c>
      <c r="L1" s="438"/>
      <c r="M1" s="441" t="s">
        <v>65</v>
      </c>
      <c r="N1" s="437" t="s">
        <v>1865</v>
      </c>
      <c r="O1" s="437" t="s">
        <v>87</v>
      </c>
      <c r="P1" s="437" t="s">
        <v>566</v>
      </c>
      <c r="Q1" s="442" t="s">
        <v>1866</v>
      </c>
      <c r="R1" s="438"/>
      <c r="S1" s="443" t="s">
        <v>65</v>
      </c>
      <c r="T1" s="437" t="s">
        <v>1865</v>
      </c>
      <c r="U1" s="437" t="s">
        <v>87</v>
      </c>
      <c r="V1" s="437" t="s">
        <v>566</v>
      </c>
      <c r="W1" s="444" t="s">
        <v>1866</v>
      </c>
      <c r="X1" s="438"/>
      <c r="Y1" s="445" t="s">
        <v>65</v>
      </c>
      <c r="Z1" s="437" t="s">
        <v>1865</v>
      </c>
      <c r="AA1" s="437" t="s">
        <v>87</v>
      </c>
      <c r="AB1" s="437" t="s">
        <v>566</v>
      </c>
      <c r="AC1" s="446" t="s">
        <v>1866</v>
      </c>
    </row>
    <row r="2" ht="67.5" customHeight="1">
      <c r="A2" s="447"/>
      <c r="B2" s="448">
        <v>4.5</v>
      </c>
      <c r="C2" s="448">
        <v>5.5</v>
      </c>
      <c r="D2" s="449">
        <v>5.5</v>
      </c>
      <c r="E2" s="448">
        <f t="shared" ref="E2:E48" si="1">B2+C2+D2</f>
        <v>15.5</v>
      </c>
      <c r="F2" s="450"/>
      <c r="G2" s="451"/>
      <c r="H2" s="448">
        <v>5.5</v>
      </c>
      <c r="I2" s="448">
        <v>5.5</v>
      </c>
      <c r="J2" s="448">
        <v>5.5</v>
      </c>
      <c r="K2" s="452">
        <f t="shared" ref="K2:K48" si="2">H2+I2+J2</f>
        <v>16.5</v>
      </c>
      <c r="L2" s="450"/>
      <c r="M2" s="453"/>
      <c r="N2" s="448">
        <v>5.5</v>
      </c>
      <c r="O2" s="448">
        <v>5.5</v>
      </c>
      <c r="P2" s="448">
        <v>4.0</v>
      </c>
      <c r="Q2" s="454">
        <f t="shared" ref="Q2:Q48" si="3">N2+O2+P2</f>
        <v>15</v>
      </c>
      <c r="R2" s="450"/>
      <c r="S2" s="455"/>
      <c r="T2" s="448">
        <v>5.5</v>
      </c>
      <c r="U2" s="448">
        <v>5.5</v>
      </c>
      <c r="V2" s="448">
        <v>4.0</v>
      </c>
      <c r="W2" s="456">
        <f t="shared" ref="W2:W48" si="4">T2+U2+V2</f>
        <v>15</v>
      </c>
      <c r="X2" s="450"/>
      <c r="Y2" s="457"/>
      <c r="Z2" s="448">
        <v>5.5</v>
      </c>
      <c r="AA2" s="448">
        <v>5.5</v>
      </c>
      <c r="AB2" s="448">
        <v>4.0</v>
      </c>
      <c r="AC2" s="458">
        <f t="shared" ref="AC2:AC48" si="5">Z2+AA2+AB2</f>
        <v>15</v>
      </c>
    </row>
    <row r="3" ht="67.5" customHeight="1">
      <c r="A3" s="447"/>
      <c r="B3" s="448">
        <v>5.5</v>
      </c>
      <c r="C3" s="448">
        <v>5.5</v>
      </c>
      <c r="D3" s="449">
        <v>4.0</v>
      </c>
      <c r="E3" s="448">
        <f t="shared" si="1"/>
        <v>15</v>
      </c>
      <c r="G3" s="451"/>
      <c r="H3" s="448">
        <v>5.5</v>
      </c>
      <c r="I3" s="448">
        <v>5.5</v>
      </c>
      <c r="J3" s="448">
        <v>5.0</v>
      </c>
      <c r="K3" s="452">
        <f t="shared" si="2"/>
        <v>16</v>
      </c>
      <c r="M3" s="453"/>
      <c r="N3" s="448">
        <v>4.0</v>
      </c>
      <c r="O3" s="448">
        <v>5.5</v>
      </c>
      <c r="P3" s="448">
        <v>5.5</v>
      </c>
      <c r="Q3" s="454">
        <f t="shared" si="3"/>
        <v>15</v>
      </c>
      <c r="S3" s="455"/>
      <c r="T3" s="448">
        <v>4.5</v>
      </c>
      <c r="U3" s="448">
        <v>5.0</v>
      </c>
      <c r="V3" s="448">
        <v>5.0</v>
      </c>
      <c r="W3" s="456">
        <f t="shared" si="4"/>
        <v>14.5</v>
      </c>
      <c r="Y3" s="457"/>
      <c r="Z3" s="448">
        <v>4.5</v>
      </c>
      <c r="AA3" s="448">
        <v>5.5</v>
      </c>
      <c r="AB3" s="448">
        <v>5.0</v>
      </c>
      <c r="AC3" s="458">
        <f t="shared" si="5"/>
        <v>15</v>
      </c>
    </row>
    <row r="4" ht="67.5" customHeight="1">
      <c r="A4" s="447"/>
      <c r="B4" s="448">
        <v>4.5</v>
      </c>
      <c r="C4" s="448">
        <v>5.5</v>
      </c>
      <c r="D4" s="449">
        <v>5.0</v>
      </c>
      <c r="E4" s="448">
        <f t="shared" si="1"/>
        <v>15</v>
      </c>
      <c r="G4" s="451"/>
      <c r="H4" s="448">
        <v>5.0</v>
      </c>
      <c r="I4" s="448">
        <v>5.5</v>
      </c>
      <c r="J4" s="448">
        <v>5.0</v>
      </c>
      <c r="K4" s="452">
        <f t="shared" si="2"/>
        <v>15.5</v>
      </c>
      <c r="M4" s="453"/>
      <c r="N4" s="448">
        <v>4.0</v>
      </c>
      <c r="O4" s="448">
        <v>5.5</v>
      </c>
      <c r="P4" s="448">
        <v>5.0</v>
      </c>
      <c r="Q4" s="454">
        <f t="shared" si="3"/>
        <v>14.5</v>
      </c>
      <c r="S4" s="455"/>
      <c r="T4" s="448">
        <v>4.0</v>
      </c>
      <c r="U4" s="448">
        <v>5.5</v>
      </c>
      <c r="V4" s="448">
        <v>5.0</v>
      </c>
      <c r="W4" s="456">
        <f t="shared" si="4"/>
        <v>14.5</v>
      </c>
      <c r="Y4" s="457"/>
      <c r="Z4" s="448">
        <v>4.0</v>
      </c>
      <c r="AA4" s="448">
        <v>5.5</v>
      </c>
      <c r="AB4" s="448">
        <v>5.0</v>
      </c>
      <c r="AC4" s="458">
        <f t="shared" si="5"/>
        <v>14.5</v>
      </c>
    </row>
    <row r="5" ht="67.5" customHeight="1">
      <c r="A5" s="459"/>
      <c r="B5" s="460">
        <v>4.0</v>
      </c>
      <c r="C5" s="460">
        <v>5.5</v>
      </c>
      <c r="D5" s="461">
        <v>5.0</v>
      </c>
      <c r="E5" s="448">
        <f t="shared" si="1"/>
        <v>14.5</v>
      </c>
      <c r="G5" s="451"/>
      <c r="H5" s="448">
        <v>5.5</v>
      </c>
      <c r="I5" s="448">
        <v>5.5</v>
      </c>
      <c r="J5" s="448">
        <v>4.0</v>
      </c>
      <c r="K5" s="452">
        <f t="shared" si="2"/>
        <v>15</v>
      </c>
      <c r="M5" s="453"/>
      <c r="N5" s="448">
        <v>5.5</v>
      </c>
      <c r="O5" s="448">
        <v>5.5</v>
      </c>
      <c r="P5" s="448">
        <v>3.0</v>
      </c>
      <c r="Q5" s="454">
        <f t="shared" si="3"/>
        <v>14</v>
      </c>
      <c r="S5" s="455"/>
      <c r="T5" s="448">
        <v>4.0</v>
      </c>
      <c r="U5" s="448">
        <v>5.5</v>
      </c>
      <c r="V5" s="448">
        <v>5.0</v>
      </c>
      <c r="W5" s="456">
        <f t="shared" si="4"/>
        <v>14.5</v>
      </c>
      <c r="Y5" s="457"/>
      <c r="Z5" s="448">
        <v>5.5</v>
      </c>
      <c r="AA5" s="448">
        <v>5.5</v>
      </c>
      <c r="AB5" s="448">
        <v>3.0</v>
      </c>
      <c r="AC5" s="458">
        <f t="shared" si="5"/>
        <v>14</v>
      </c>
    </row>
    <row r="6" ht="67.5" customHeight="1">
      <c r="A6" s="447"/>
      <c r="B6" s="448">
        <v>4.0</v>
      </c>
      <c r="C6" s="448">
        <v>5.5</v>
      </c>
      <c r="D6" s="449">
        <v>5.0</v>
      </c>
      <c r="E6" s="448">
        <f t="shared" si="1"/>
        <v>14.5</v>
      </c>
      <c r="G6" s="462"/>
      <c r="H6" s="448">
        <v>4.0</v>
      </c>
      <c r="I6" s="448">
        <v>5.5</v>
      </c>
      <c r="J6" s="448">
        <v>5.5</v>
      </c>
      <c r="K6" s="452">
        <f t="shared" si="2"/>
        <v>15</v>
      </c>
      <c r="M6" s="453"/>
      <c r="N6" s="448">
        <v>5.0</v>
      </c>
      <c r="O6" s="448">
        <v>5.5</v>
      </c>
      <c r="P6" s="448">
        <v>3.0</v>
      </c>
      <c r="Q6" s="454">
        <f t="shared" si="3"/>
        <v>13.5</v>
      </c>
      <c r="S6" s="455"/>
      <c r="T6" s="448">
        <v>5.5</v>
      </c>
      <c r="U6" s="448">
        <v>5.5</v>
      </c>
      <c r="V6" s="448">
        <v>3.0</v>
      </c>
      <c r="W6" s="456">
        <f t="shared" si="4"/>
        <v>14</v>
      </c>
      <c r="Y6" s="457"/>
      <c r="Z6" s="448">
        <v>5.0</v>
      </c>
      <c r="AA6" s="448">
        <v>5.5</v>
      </c>
      <c r="AB6" s="448">
        <v>3.0</v>
      </c>
      <c r="AC6" s="458">
        <f t="shared" si="5"/>
        <v>13.5</v>
      </c>
    </row>
    <row r="7" ht="67.5" customHeight="1">
      <c r="A7" s="447"/>
      <c r="B7" s="448">
        <v>5.5</v>
      </c>
      <c r="C7" s="448">
        <v>5.5</v>
      </c>
      <c r="D7" s="449">
        <v>3.0</v>
      </c>
      <c r="E7" s="448">
        <f t="shared" si="1"/>
        <v>14</v>
      </c>
      <c r="G7" s="463"/>
      <c r="H7" s="460">
        <v>5.0</v>
      </c>
      <c r="I7" s="460">
        <v>5.5</v>
      </c>
      <c r="J7" s="460">
        <v>4.0</v>
      </c>
      <c r="K7" s="452">
        <f t="shared" si="2"/>
        <v>14.5</v>
      </c>
      <c r="M7" s="453"/>
      <c r="N7" s="448">
        <v>4.0</v>
      </c>
      <c r="O7" s="448">
        <v>5.5</v>
      </c>
      <c r="P7" s="448">
        <v>4.0</v>
      </c>
      <c r="Q7" s="454">
        <f t="shared" si="3"/>
        <v>13.5</v>
      </c>
      <c r="S7" s="455"/>
      <c r="T7" s="448">
        <v>5.5</v>
      </c>
      <c r="U7" s="448">
        <v>5.0</v>
      </c>
      <c r="V7" s="448">
        <v>3.0</v>
      </c>
      <c r="W7" s="456">
        <f t="shared" si="4"/>
        <v>13.5</v>
      </c>
      <c r="Y7" s="457"/>
      <c r="Z7" s="448">
        <v>5.0</v>
      </c>
      <c r="AA7" s="448">
        <v>5.5</v>
      </c>
      <c r="AB7" s="448">
        <v>3.0</v>
      </c>
      <c r="AC7" s="458">
        <f t="shared" si="5"/>
        <v>13.5</v>
      </c>
    </row>
    <row r="8" ht="67.5" customHeight="1">
      <c r="A8" s="447"/>
      <c r="B8" s="448">
        <v>5.5</v>
      </c>
      <c r="C8" s="448">
        <v>5.5</v>
      </c>
      <c r="D8" s="449">
        <v>3.0</v>
      </c>
      <c r="E8" s="448">
        <f t="shared" si="1"/>
        <v>14</v>
      </c>
      <c r="G8" s="451"/>
      <c r="H8" s="448">
        <v>5.0</v>
      </c>
      <c r="I8" s="448">
        <v>5.5</v>
      </c>
      <c r="J8" s="448">
        <v>4.0</v>
      </c>
      <c r="K8" s="452">
        <f t="shared" si="2"/>
        <v>14.5</v>
      </c>
      <c r="M8" s="453"/>
      <c r="N8" s="448">
        <v>5.0</v>
      </c>
      <c r="O8" s="448">
        <v>5.5</v>
      </c>
      <c r="P8" s="448">
        <v>3.0</v>
      </c>
      <c r="Q8" s="454">
        <f t="shared" si="3"/>
        <v>13.5</v>
      </c>
      <c r="S8" s="455"/>
      <c r="T8" s="448">
        <v>5.0</v>
      </c>
      <c r="U8" s="448">
        <v>5.5</v>
      </c>
      <c r="V8" s="448">
        <v>3.0</v>
      </c>
      <c r="W8" s="456">
        <f t="shared" si="4"/>
        <v>13.5</v>
      </c>
      <c r="Y8" s="457"/>
      <c r="Z8" s="448">
        <v>5.0</v>
      </c>
      <c r="AA8" s="448">
        <v>5.5</v>
      </c>
      <c r="AB8" s="448">
        <v>3.0</v>
      </c>
      <c r="AC8" s="458">
        <f t="shared" si="5"/>
        <v>13.5</v>
      </c>
    </row>
    <row r="9" ht="67.5" customHeight="1">
      <c r="A9" s="447"/>
      <c r="B9" s="448">
        <v>5.5</v>
      </c>
      <c r="C9" s="448">
        <v>5.5</v>
      </c>
      <c r="D9" s="449">
        <v>3.0</v>
      </c>
      <c r="E9" s="448">
        <f t="shared" si="1"/>
        <v>14</v>
      </c>
      <c r="G9" s="451"/>
      <c r="H9" s="448">
        <v>4.0</v>
      </c>
      <c r="I9" s="448">
        <v>5.5</v>
      </c>
      <c r="J9" s="448">
        <v>5.0</v>
      </c>
      <c r="K9" s="452">
        <f t="shared" si="2"/>
        <v>14.5</v>
      </c>
      <c r="M9" s="453"/>
      <c r="N9" s="448">
        <v>5.0</v>
      </c>
      <c r="O9" s="448">
        <v>5.5</v>
      </c>
      <c r="P9" s="448">
        <v>3.0</v>
      </c>
      <c r="Q9" s="454">
        <f t="shared" si="3"/>
        <v>13.5</v>
      </c>
      <c r="S9" s="455"/>
      <c r="T9" s="448">
        <v>5.0</v>
      </c>
      <c r="U9" s="448">
        <v>5.5</v>
      </c>
      <c r="V9" s="448">
        <v>3.0</v>
      </c>
      <c r="W9" s="456">
        <f t="shared" si="4"/>
        <v>13.5</v>
      </c>
      <c r="Y9" s="457"/>
      <c r="Z9" s="448">
        <v>5.0</v>
      </c>
      <c r="AA9" s="448">
        <v>5.5</v>
      </c>
      <c r="AB9" s="448">
        <v>3.0</v>
      </c>
      <c r="AC9" s="458">
        <f t="shared" si="5"/>
        <v>13.5</v>
      </c>
    </row>
    <row r="10" ht="67.5" customHeight="1">
      <c r="A10" s="449"/>
      <c r="B10" s="448">
        <v>5.5</v>
      </c>
      <c r="C10" s="448">
        <v>5.5</v>
      </c>
      <c r="D10" s="449">
        <v>3.0</v>
      </c>
      <c r="E10" s="448">
        <f t="shared" si="1"/>
        <v>14</v>
      </c>
      <c r="G10" s="451"/>
      <c r="H10" s="448">
        <v>5.5</v>
      </c>
      <c r="I10" s="448">
        <v>5.5</v>
      </c>
      <c r="J10" s="448">
        <v>3.0</v>
      </c>
      <c r="K10" s="452">
        <f t="shared" si="2"/>
        <v>14</v>
      </c>
      <c r="M10" s="453"/>
      <c r="N10" s="448">
        <v>5.0</v>
      </c>
      <c r="O10" s="448">
        <v>5.5</v>
      </c>
      <c r="P10" s="448">
        <v>3.0</v>
      </c>
      <c r="Q10" s="454">
        <f t="shared" si="3"/>
        <v>13.5</v>
      </c>
      <c r="S10" s="455"/>
      <c r="T10" s="448">
        <v>5.0</v>
      </c>
      <c r="U10" s="448">
        <v>5.5</v>
      </c>
      <c r="V10" s="448">
        <v>3.0</v>
      </c>
      <c r="W10" s="456">
        <f t="shared" si="4"/>
        <v>13.5</v>
      </c>
      <c r="Y10" s="457"/>
      <c r="Z10" s="448">
        <v>5.0</v>
      </c>
      <c r="AA10" s="448">
        <v>5.5</v>
      </c>
      <c r="AB10" s="448">
        <v>3.0</v>
      </c>
      <c r="AC10" s="458">
        <f t="shared" si="5"/>
        <v>13.5</v>
      </c>
    </row>
    <row r="11" ht="67.5" customHeight="1">
      <c r="A11" s="447"/>
      <c r="B11" s="448">
        <v>5.0</v>
      </c>
      <c r="C11" s="448">
        <v>5.5</v>
      </c>
      <c r="D11" s="449">
        <v>3.0</v>
      </c>
      <c r="E11" s="448">
        <f t="shared" si="1"/>
        <v>13.5</v>
      </c>
      <c r="G11" s="451"/>
      <c r="H11" s="448">
        <v>5.5</v>
      </c>
      <c r="I11" s="448">
        <v>5.5</v>
      </c>
      <c r="J11" s="448">
        <v>3.0</v>
      </c>
      <c r="K11" s="452">
        <f t="shared" si="2"/>
        <v>14</v>
      </c>
      <c r="M11" s="453"/>
      <c r="N11" s="448">
        <v>5.0</v>
      </c>
      <c r="O11" s="448">
        <v>5.5</v>
      </c>
      <c r="P11" s="448">
        <v>3.0</v>
      </c>
      <c r="Q11" s="454">
        <f t="shared" si="3"/>
        <v>13.5</v>
      </c>
      <c r="S11" s="455"/>
      <c r="T11" s="448">
        <v>5.0</v>
      </c>
      <c r="U11" s="448">
        <v>5.5</v>
      </c>
      <c r="V11" s="448">
        <v>3.0</v>
      </c>
      <c r="W11" s="456">
        <f t="shared" si="4"/>
        <v>13.5</v>
      </c>
      <c r="Y11" s="457"/>
      <c r="Z11" s="448">
        <v>5.0</v>
      </c>
      <c r="AA11" s="448">
        <v>5.5</v>
      </c>
      <c r="AB11" s="448">
        <v>2.0</v>
      </c>
      <c r="AC11" s="458">
        <f t="shared" si="5"/>
        <v>12.5</v>
      </c>
    </row>
    <row r="12" ht="67.5" customHeight="1">
      <c r="A12" s="447"/>
      <c r="B12" s="448">
        <v>5.0</v>
      </c>
      <c r="C12" s="448">
        <v>5.5</v>
      </c>
      <c r="D12" s="449">
        <v>3.0</v>
      </c>
      <c r="E12" s="448">
        <f t="shared" si="1"/>
        <v>13.5</v>
      </c>
      <c r="G12" s="451"/>
      <c r="H12" s="448">
        <v>5.5</v>
      </c>
      <c r="I12" s="448">
        <v>5.5</v>
      </c>
      <c r="J12" s="448">
        <v>3.0</v>
      </c>
      <c r="K12" s="452">
        <f t="shared" si="2"/>
        <v>14</v>
      </c>
      <c r="M12" s="453"/>
      <c r="N12" s="448">
        <v>5.0</v>
      </c>
      <c r="O12" s="448">
        <v>5.5</v>
      </c>
      <c r="P12" s="448">
        <v>3.0</v>
      </c>
      <c r="Q12" s="454">
        <f t="shared" si="3"/>
        <v>13.5</v>
      </c>
      <c r="S12" s="455"/>
      <c r="T12" s="448">
        <v>5.0</v>
      </c>
      <c r="U12" s="448">
        <v>5.5</v>
      </c>
      <c r="V12" s="448">
        <v>3.0</v>
      </c>
      <c r="W12" s="456">
        <f t="shared" si="4"/>
        <v>13.5</v>
      </c>
      <c r="Y12" s="457"/>
      <c r="Z12" s="448">
        <v>4.0</v>
      </c>
      <c r="AA12" s="448">
        <v>3.0</v>
      </c>
      <c r="AB12" s="448">
        <v>5.0</v>
      </c>
      <c r="AC12" s="458">
        <f t="shared" si="5"/>
        <v>12</v>
      </c>
    </row>
    <row r="13" ht="67.5" customHeight="1">
      <c r="A13" s="447"/>
      <c r="B13" s="448">
        <v>5.0</v>
      </c>
      <c r="C13" s="448">
        <v>5.5</v>
      </c>
      <c r="D13" s="449">
        <v>3.0</v>
      </c>
      <c r="E13" s="448">
        <f t="shared" si="1"/>
        <v>13.5</v>
      </c>
      <c r="G13" s="451"/>
      <c r="H13" s="448">
        <v>5.0</v>
      </c>
      <c r="I13" s="448">
        <v>5.5</v>
      </c>
      <c r="J13" s="448">
        <v>3.0</v>
      </c>
      <c r="K13" s="452">
        <f t="shared" si="2"/>
        <v>13.5</v>
      </c>
      <c r="M13" s="464"/>
      <c r="N13" s="448">
        <v>5.0</v>
      </c>
      <c r="O13" s="448">
        <v>5.5</v>
      </c>
      <c r="P13" s="448">
        <v>3.0</v>
      </c>
      <c r="Q13" s="454">
        <f t="shared" si="3"/>
        <v>13.5</v>
      </c>
      <c r="S13" s="455"/>
      <c r="T13" s="448">
        <v>5.0</v>
      </c>
      <c r="U13" s="448">
        <v>5.5</v>
      </c>
      <c r="V13" s="448">
        <v>3.0</v>
      </c>
      <c r="W13" s="456">
        <f t="shared" si="4"/>
        <v>13.5</v>
      </c>
      <c r="Y13" s="457"/>
      <c r="Z13" s="448">
        <v>5.5</v>
      </c>
      <c r="AA13" s="448">
        <v>3.5</v>
      </c>
      <c r="AB13" s="448">
        <v>3.0</v>
      </c>
      <c r="AC13" s="458">
        <f t="shared" si="5"/>
        <v>12</v>
      </c>
    </row>
    <row r="14" ht="67.5" customHeight="1">
      <c r="A14" s="447"/>
      <c r="B14" s="448">
        <v>5.0</v>
      </c>
      <c r="C14" s="448">
        <v>5.5</v>
      </c>
      <c r="D14" s="449">
        <v>3.0</v>
      </c>
      <c r="E14" s="448">
        <f t="shared" si="1"/>
        <v>13.5</v>
      </c>
      <c r="G14" s="463"/>
      <c r="H14" s="460">
        <v>5.0</v>
      </c>
      <c r="I14" s="460">
        <v>5.5</v>
      </c>
      <c r="J14" s="460">
        <v>3.0</v>
      </c>
      <c r="K14" s="452">
        <f t="shared" si="2"/>
        <v>13.5</v>
      </c>
      <c r="M14" s="453"/>
      <c r="N14" s="448">
        <v>4.0</v>
      </c>
      <c r="O14" s="448">
        <v>5.5</v>
      </c>
      <c r="P14" s="448">
        <v>3.0</v>
      </c>
      <c r="Q14" s="454">
        <f t="shared" si="3"/>
        <v>12.5</v>
      </c>
      <c r="S14" s="455"/>
      <c r="T14" s="448">
        <v>4.0</v>
      </c>
      <c r="U14" s="448">
        <v>5.5</v>
      </c>
      <c r="V14" s="448">
        <v>4.0</v>
      </c>
      <c r="W14" s="456">
        <f t="shared" si="4"/>
        <v>13.5</v>
      </c>
      <c r="Y14" s="457"/>
      <c r="Z14" s="448">
        <v>4.0</v>
      </c>
      <c r="AA14" s="448">
        <v>5.0</v>
      </c>
      <c r="AB14" s="448">
        <v>3.0</v>
      </c>
      <c r="AC14" s="458">
        <f t="shared" si="5"/>
        <v>12</v>
      </c>
    </row>
    <row r="15" ht="67.5" customHeight="1">
      <c r="A15" s="447"/>
      <c r="B15" s="448">
        <v>5.0</v>
      </c>
      <c r="C15" s="448">
        <v>5.5</v>
      </c>
      <c r="D15" s="449">
        <v>3.0</v>
      </c>
      <c r="E15" s="448">
        <f t="shared" si="1"/>
        <v>13.5</v>
      </c>
      <c r="G15" s="465"/>
      <c r="H15" s="460">
        <v>5.0</v>
      </c>
      <c r="I15" s="460">
        <v>5.5</v>
      </c>
      <c r="J15" s="460">
        <v>3.0</v>
      </c>
      <c r="K15" s="452">
        <f t="shared" si="2"/>
        <v>13.5</v>
      </c>
      <c r="M15" s="453"/>
      <c r="N15" s="448">
        <v>5.0</v>
      </c>
      <c r="O15" s="448">
        <v>3.0</v>
      </c>
      <c r="P15" s="448">
        <v>4.0</v>
      </c>
      <c r="Q15" s="454">
        <f t="shared" si="3"/>
        <v>12</v>
      </c>
      <c r="S15" s="455"/>
      <c r="T15" s="448">
        <v>4.0</v>
      </c>
      <c r="U15" s="448">
        <v>5.5</v>
      </c>
      <c r="V15" s="448">
        <v>4.0</v>
      </c>
      <c r="W15" s="456">
        <f t="shared" si="4"/>
        <v>13.5</v>
      </c>
      <c r="Y15" s="457"/>
      <c r="Z15" s="448">
        <v>5.0</v>
      </c>
      <c r="AA15" s="448">
        <v>3.0</v>
      </c>
      <c r="AB15" s="448">
        <v>4.0</v>
      </c>
      <c r="AC15" s="458">
        <f t="shared" si="5"/>
        <v>12</v>
      </c>
    </row>
    <row r="16" ht="67.5" customHeight="1">
      <c r="A16" s="447"/>
      <c r="B16" s="448">
        <v>5.0</v>
      </c>
      <c r="C16" s="448">
        <v>5.5</v>
      </c>
      <c r="D16" s="449">
        <v>3.0</v>
      </c>
      <c r="E16" s="448">
        <f t="shared" si="1"/>
        <v>13.5</v>
      </c>
      <c r="G16" s="451"/>
      <c r="H16" s="448">
        <v>5.0</v>
      </c>
      <c r="I16" s="448">
        <v>5.0</v>
      </c>
      <c r="J16" s="448">
        <v>3.0</v>
      </c>
      <c r="K16" s="452">
        <f t="shared" si="2"/>
        <v>13</v>
      </c>
      <c r="M16" s="453"/>
      <c r="N16" s="448">
        <v>4.0</v>
      </c>
      <c r="O16" s="448">
        <v>3.0</v>
      </c>
      <c r="P16" s="448">
        <v>5.0</v>
      </c>
      <c r="Q16" s="454">
        <f t="shared" si="3"/>
        <v>12</v>
      </c>
      <c r="S16" s="466"/>
      <c r="T16" s="448">
        <v>5.0</v>
      </c>
      <c r="U16" s="448">
        <v>5.5</v>
      </c>
      <c r="V16" s="448">
        <v>3.0</v>
      </c>
      <c r="W16" s="456">
        <f t="shared" si="4"/>
        <v>13.5</v>
      </c>
      <c r="Y16" s="457"/>
      <c r="Z16" s="448">
        <v>5.0</v>
      </c>
      <c r="AA16" s="448">
        <v>3.5</v>
      </c>
      <c r="AB16" s="448">
        <v>3.0</v>
      </c>
      <c r="AC16" s="458">
        <f t="shared" si="5"/>
        <v>11.5</v>
      </c>
    </row>
    <row r="17" ht="67.5" customHeight="1">
      <c r="A17" s="447"/>
      <c r="B17" s="448">
        <v>5.0</v>
      </c>
      <c r="C17" s="448">
        <v>5.5</v>
      </c>
      <c r="D17" s="449">
        <v>3.0</v>
      </c>
      <c r="E17" s="448">
        <f t="shared" si="1"/>
        <v>13.5</v>
      </c>
      <c r="G17" s="465"/>
      <c r="H17" s="460">
        <v>4.5</v>
      </c>
      <c r="I17" s="460">
        <v>3.0</v>
      </c>
      <c r="J17" s="460">
        <v>5.0</v>
      </c>
      <c r="K17" s="452">
        <f t="shared" si="2"/>
        <v>12.5</v>
      </c>
      <c r="M17" s="453"/>
      <c r="N17" s="448">
        <v>5.0</v>
      </c>
      <c r="O17" s="448">
        <v>4.0</v>
      </c>
      <c r="P17" s="448">
        <v>3.0</v>
      </c>
      <c r="Q17" s="454">
        <f t="shared" si="3"/>
        <v>12</v>
      </c>
      <c r="S17" s="455"/>
      <c r="T17" s="448">
        <v>5.0</v>
      </c>
      <c r="U17" s="448">
        <v>5.0</v>
      </c>
      <c r="V17" s="448">
        <v>3.0</v>
      </c>
      <c r="W17" s="456">
        <f t="shared" si="4"/>
        <v>13</v>
      </c>
      <c r="Y17" s="467"/>
      <c r="Z17" s="448">
        <v>4.0</v>
      </c>
      <c r="AA17" s="448">
        <v>2.5</v>
      </c>
      <c r="AB17" s="448">
        <v>5.0</v>
      </c>
      <c r="AC17" s="458">
        <f t="shared" si="5"/>
        <v>11.5</v>
      </c>
    </row>
    <row r="18" ht="67.5" customHeight="1">
      <c r="A18" s="447"/>
      <c r="B18" s="448">
        <v>5.0</v>
      </c>
      <c r="C18" s="448">
        <v>3.5</v>
      </c>
      <c r="D18" s="449">
        <v>4.0</v>
      </c>
      <c r="E18" s="448">
        <f t="shared" si="1"/>
        <v>12.5</v>
      </c>
      <c r="G18" s="451"/>
      <c r="H18" s="448">
        <v>5.0</v>
      </c>
      <c r="I18" s="448">
        <v>4.0</v>
      </c>
      <c r="J18" s="448">
        <v>3.0</v>
      </c>
      <c r="K18" s="452">
        <f t="shared" si="2"/>
        <v>12</v>
      </c>
      <c r="M18" s="464"/>
      <c r="N18" s="448">
        <v>4.0</v>
      </c>
      <c r="O18" s="448">
        <v>2.5</v>
      </c>
      <c r="P18" s="448">
        <v>5.0</v>
      </c>
      <c r="Q18" s="454">
        <f t="shared" si="3"/>
        <v>11.5</v>
      </c>
      <c r="S18" s="466"/>
      <c r="T18" s="448">
        <v>4.5</v>
      </c>
      <c r="U18" s="448">
        <v>3.5</v>
      </c>
      <c r="V18" s="448">
        <v>5.0</v>
      </c>
      <c r="W18" s="456">
        <f t="shared" si="4"/>
        <v>13</v>
      </c>
      <c r="Y18" s="457"/>
      <c r="Z18" s="448">
        <v>4.0</v>
      </c>
      <c r="AA18" s="448">
        <v>3.0</v>
      </c>
      <c r="AB18" s="448">
        <v>4.0</v>
      </c>
      <c r="AC18" s="458">
        <f t="shared" si="5"/>
        <v>11</v>
      </c>
    </row>
    <row r="19" ht="67.5" customHeight="1">
      <c r="A19" s="449"/>
      <c r="B19" s="448">
        <v>4.0</v>
      </c>
      <c r="C19" s="448">
        <v>3.0</v>
      </c>
      <c r="D19" s="449">
        <v>5.0</v>
      </c>
      <c r="E19" s="448">
        <f t="shared" si="1"/>
        <v>12</v>
      </c>
      <c r="G19" s="451"/>
      <c r="H19" s="448">
        <v>4.0</v>
      </c>
      <c r="I19" s="448">
        <v>3.0</v>
      </c>
      <c r="J19" s="448">
        <v>5.0</v>
      </c>
      <c r="K19" s="452">
        <f t="shared" si="2"/>
        <v>12</v>
      </c>
      <c r="M19" s="453"/>
      <c r="N19" s="448">
        <v>4.0</v>
      </c>
      <c r="O19" s="448">
        <v>4.0</v>
      </c>
      <c r="P19" s="448">
        <v>3.0</v>
      </c>
      <c r="Q19" s="454">
        <f t="shared" si="3"/>
        <v>11</v>
      </c>
      <c r="S19" s="455"/>
      <c r="T19" s="448">
        <v>5.0</v>
      </c>
      <c r="U19" s="448">
        <v>5.5</v>
      </c>
      <c r="V19" s="448">
        <v>2.0</v>
      </c>
      <c r="W19" s="456">
        <f t="shared" si="4"/>
        <v>12.5</v>
      </c>
      <c r="Y19" s="457"/>
      <c r="Z19" s="448">
        <v>3.0</v>
      </c>
      <c r="AA19" s="448">
        <v>3.0</v>
      </c>
      <c r="AB19" s="448">
        <v>5.0</v>
      </c>
      <c r="AC19" s="458">
        <f t="shared" si="5"/>
        <v>11</v>
      </c>
    </row>
    <row r="20" ht="67.5" customHeight="1">
      <c r="A20" s="447"/>
      <c r="B20" s="448">
        <v>4.0</v>
      </c>
      <c r="C20" s="448">
        <v>5.0</v>
      </c>
      <c r="D20" s="449">
        <v>3.0</v>
      </c>
      <c r="E20" s="448">
        <f t="shared" si="1"/>
        <v>12</v>
      </c>
      <c r="G20" s="451"/>
      <c r="H20" s="448">
        <v>4.5</v>
      </c>
      <c r="I20" s="448">
        <v>4.0</v>
      </c>
      <c r="J20" s="448">
        <v>3.0</v>
      </c>
      <c r="K20" s="452">
        <f t="shared" si="2"/>
        <v>11.5</v>
      </c>
      <c r="M20" s="453"/>
      <c r="N20" s="448">
        <v>4.0</v>
      </c>
      <c r="O20" s="448">
        <v>3.0</v>
      </c>
      <c r="P20" s="448">
        <v>4.0</v>
      </c>
      <c r="Q20" s="454">
        <f t="shared" si="3"/>
        <v>11</v>
      </c>
      <c r="S20" s="455"/>
      <c r="T20" s="448">
        <v>5.0</v>
      </c>
      <c r="U20" s="448">
        <v>5.5</v>
      </c>
      <c r="V20" s="448">
        <v>2.0</v>
      </c>
      <c r="W20" s="456">
        <f t="shared" si="4"/>
        <v>12.5</v>
      </c>
      <c r="Y20" s="457"/>
      <c r="Z20" s="448">
        <v>4.0</v>
      </c>
      <c r="AA20" s="448">
        <v>3.0</v>
      </c>
      <c r="AB20" s="448">
        <v>4.0</v>
      </c>
      <c r="AC20" s="458">
        <f t="shared" si="5"/>
        <v>11</v>
      </c>
    </row>
    <row r="21" ht="67.5" customHeight="1">
      <c r="A21" s="447"/>
      <c r="B21" s="448">
        <v>4.0</v>
      </c>
      <c r="C21" s="448">
        <v>3.0</v>
      </c>
      <c r="D21" s="449">
        <v>5.0</v>
      </c>
      <c r="E21" s="448">
        <f t="shared" si="1"/>
        <v>12</v>
      </c>
      <c r="G21" s="451"/>
      <c r="H21" s="448">
        <v>5.5</v>
      </c>
      <c r="I21" s="448">
        <v>3.0</v>
      </c>
      <c r="J21" s="448">
        <v>3.0</v>
      </c>
      <c r="K21" s="452">
        <f t="shared" si="2"/>
        <v>11.5</v>
      </c>
      <c r="M21" s="453"/>
      <c r="N21" s="448">
        <v>4.0</v>
      </c>
      <c r="O21" s="448">
        <v>5.0</v>
      </c>
      <c r="P21" s="448">
        <v>2.0</v>
      </c>
      <c r="Q21" s="454">
        <f t="shared" si="3"/>
        <v>11</v>
      </c>
      <c r="S21" s="455"/>
      <c r="T21" s="448">
        <v>4.0</v>
      </c>
      <c r="U21" s="448">
        <v>5.5</v>
      </c>
      <c r="V21" s="448">
        <v>3.0</v>
      </c>
      <c r="W21" s="456">
        <f t="shared" si="4"/>
        <v>12.5</v>
      </c>
      <c r="Y21" s="457"/>
      <c r="Z21" s="448">
        <v>5.0</v>
      </c>
      <c r="AA21" s="448">
        <v>5.0</v>
      </c>
      <c r="AB21" s="448">
        <v>1.0</v>
      </c>
      <c r="AC21" s="458">
        <f t="shared" si="5"/>
        <v>11</v>
      </c>
    </row>
    <row r="22" ht="67.5" customHeight="1">
      <c r="A22" s="449"/>
      <c r="B22" s="448">
        <v>4.0</v>
      </c>
      <c r="C22" s="448">
        <v>2.5</v>
      </c>
      <c r="D22" s="449">
        <v>5.0</v>
      </c>
      <c r="E22" s="448">
        <f t="shared" si="1"/>
        <v>11.5</v>
      </c>
      <c r="G22" s="451"/>
      <c r="H22" s="448">
        <v>4.0</v>
      </c>
      <c r="I22" s="448">
        <v>3.0</v>
      </c>
      <c r="J22" s="448">
        <v>4.0</v>
      </c>
      <c r="K22" s="452">
        <f t="shared" si="2"/>
        <v>11</v>
      </c>
      <c r="M22" s="453"/>
      <c r="N22" s="448">
        <v>3.0</v>
      </c>
      <c r="O22" s="448">
        <v>3.0</v>
      </c>
      <c r="P22" s="448">
        <v>5.0</v>
      </c>
      <c r="Q22" s="454">
        <f t="shared" si="3"/>
        <v>11</v>
      </c>
      <c r="S22" s="455"/>
      <c r="T22" s="448">
        <v>4.0</v>
      </c>
      <c r="U22" s="448">
        <v>3.0</v>
      </c>
      <c r="V22" s="448">
        <v>5.0</v>
      </c>
      <c r="W22" s="456">
        <f t="shared" si="4"/>
        <v>12</v>
      </c>
      <c r="Y22" s="457"/>
      <c r="Z22" s="448">
        <v>2.0</v>
      </c>
      <c r="AA22" s="448">
        <v>3.5</v>
      </c>
      <c r="AB22" s="448">
        <v>5.0</v>
      </c>
      <c r="AC22" s="458">
        <f t="shared" si="5"/>
        <v>10.5</v>
      </c>
    </row>
    <row r="23" ht="67.5" customHeight="1">
      <c r="A23" s="447"/>
      <c r="B23" s="448">
        <v>5.5</v>
      </c>
      <c r="C23" s="448">
        <v>3.0</v>
      </c>
      <c r="D23" s="449">
        <v>3.0</v>
      </c>
      <c r="E23" s="448">
        <f t="shared" si="1"/>
        <v>11.5</v>
      </c>
      <c r="G23" s="465"/>
      <c r="H23" s="460">
        <v>4.5</v>
      </c>
      <c r="I23" s="460">
        <v>5.5</v>
      </c>
      <c r="J23" s="460">
        <v>1.0</v>
      </c>
      <c r="K23" s="452">
        <f t="shared" si="2"/>
        <v>11</v>
      </c>
      <c r="M23" s="453"/>
      <c r="N23" s="448">
        <v>4.0</v>
      </c>
      <c r="O23" s="448">
        <v>2.0</v>
      </c>
      <c r="P23" s="448">
        <v>5.0</v>
      </c>
      <c r="Q23" s="454">
        <f t="shared" si="3"/>
        <v>11</v>
      </c>
      <c r="S23" s="455"/>
      <c r="T23" s="448">
        <v>4.0</v>
      </c>
      <c r="U23" s="448">
        <v>2.5</v>
      </c>
      <c r="V23" s="448">
        <v>5.5</v>
      </c>
      <c r="W23" s="456">
        <f t="shared" si="4"/>
        <v>12</v>
      </c>
      <c r="Y23" s="457"/>
      <c r="Z23" s="448">
        <v>4.0</v>
      </c>
      <c r="AA23" s="448">
        <v>5.5</v>
      </c>
      <c r="AB23" s="448">
        <v>1.0</v>
      </c>
      <c r="AC23" s="458">
        <f t="shared" si="5"/>
        <v>10.5</v>
      </c>
    </row>
    <row r="24" ht="67.5" customHeight="1">
      <c r="A24" s="447"/>
      <c r="B24" s="448">
        <v>3.0</v>
      </c>
      <c r="C24" s="448">
        <v>3.0</v>
      </c>
      <c r="D24" s="449">
        <v>5.5</v>
      </c>
      <c r="E24" s="448">
        <f t="shared" si="1"/>
        <v>11.5</v>
      </c>
      <c r="G24" s="451"/>
      <c r="H24" s="448">
        <v>4.0</v>
      </c>
      <c r="I24" s="448">
        <v>5.5</v>
      </c>
      <c r="J24" s="448">
        <v>1.0</v>
      </c>
      <c r="K24" s="452">
        <f t="shared" si="2"/>
        <v>10.5</v>
      </c>
      <c r="M24" s="453"/>
      <c r="N24" s="448">
        <v>3.0</v>
      </c>
      <c r="O24" s="448">
        <v>3.0</v>
      </c>
      <c r="P24" s="448">
        <v>4.0</v>
      </c>
      <c r="Q24" s="454">
        <f t="shared" si="3"/>
        <v>10</v>
      </c>
      <c r="S24" s="455"/>
      <c r="T24" s="448">
        <v>5.0</v>
      </c>
      <c r="U24" s="448">
        <v>3.0</v>
      </c>
      <c r="V24" s="448">
        <v>3.0</v>
      </c>
      <c r="W24" s="456">
        <f t="shared" si="4"/>
        <v>11</v>
      </c>
      <c r="Y24" s="457"/>
      <c r="Z24" s="448">
        <v>4.0</v>
      </c>
      <c r="AA24" s="448">
        <v>5.5</v>
      </c>
      <c r="AB24" s="448">
        <v>1.0</v>
      </c>
      <c r="AC24" s="458">
        <f t="shared" si="5"/>
        <v>10.5</v>
      </c>
    </row>
    <row r="25" ht="67.5" customHeight="1">
      <c r="A25" s="447"/>
      <c r="B25" s="448">
        <v>4.0</v>
      </c>
      <c r="C25" s="448">
        <v>3.0</v>
      </c>
      <c r="D25" s="449">
        <v>4.0</v>
      </c>
      <c r="E25" s="448">
        <f t="shared" si="1"/>
        <v>11</v>
      </c>
      <c r="G25" s="465"/>
      <c r="H25" s="460">
        <v>5.0</v>
      </c>
      <c r="I25" s="460">
        <v>2.5</v>
      </c>
      <c r="J25" s="460">
        <v>3.0</v>
      </c>
      <c r="K25" s="452">
        <f t="shared" si="2"/>
        <v>10.5</v>
      </c>
      <c r="M25" s="453"/>
      <c r="N25" s="448">
        <v>4.0</v>
      </c>
      <c r="O25" s="448">
        <v>3.0</v>
      </c>
      <c r="P25" s="448">
        <v>3.0</v>
      </c>
      <c r="Q25" s="454">
        <f t="shared" si="3"/>
        <v>10</v>
      </c>
      <c r="S25" s="455"/>
      <c r="T25" s="448">
        <v>4.0</v>
      </c>
      <c r="U25" s="448">
        <v>5.5</v>
      </c>
      <c r="V25" s="448">
        <v>1.0</v>
      </c>
      <c r="W25" s="456">
        <f t="shared" si="4"/>
        <v>10.5</v>
      </c>
      <c r="Y25" s="457"/>
      <c r="Z25" s="448">
        <v>4.0</v>
      </c>
      <c r="AA25" s="448">
        <v>3.0</v>
      </c>
      <c r="AB25" s="448">
        <v>3.0</v>
      </c>
      <c r="AC25" s="458">
        <f t="shared" si="5"/>
        <v>10</v>
      </c>
    </row>
    <row r="26" ht="67.5" customHeight="1">
      <c r="A26" s="447"/>
      <c r="B26" s="448">
        <v>4.0</v>
      </c>
      <c r="C26" s="448">
        <v>3.0</v>
      </c>
      <c r="D26" s="449">
        <v>4.0</v>
      </c>
      <c r="E26" s="448">
        <f t="shared" si="1"/>
        <v>11</v>
      </c>
      <c r="G26" s="451"/>
      <c r="H26" s="448">
        <v>5.0</v>
      </c>
      <c r="I26" s="448">
        <v>2.0</v>
      </c>
      <c r="J26" s="448">
        <v>3.0</v>
      </c>
      <c r="K26" s="452">
        <f t="shared" si="2"/>
        <v>10</v>
      </c>
      <c r="M26" s="464"/>
      <c r="N26" s="448">
        <v>4.0</v>
      </c>
      <c r="O26" s="448">
        <v>5.0</v>
      </c>
      <c r="P26" s="448">
        <v>1.0</v>
      </c>
      <c r="Q26" s="454">
        <f t="shared" si="3"/>
        <v>10</v>
      </c>
      <c r="S26" s="455"/>
      <c r="T26" s="448">
        <v>4.0</v>
      </c>
      <c r="U26" s="448">
        <v>5.5</v>
      </c>
      <c r="V26" s="448">
        <v>1.0</v>
      </c>
      <c r="W26" s="456">
        <f t="shared" si="4"/>
        <v>10.5</v>
      </c>
      <c r="Y26" s="457"/>
      <c r="Z26" s="448">
        <v>3.0</v>
      </c>
      <c r="AA26" s="448">
        <v>2.0</v>
      </c>
      <c r="AB26" s="448">
        <v>5.0</v>
      </c>
      <c r="AC26" s="458">
        <f t="shared" si="5"/>
        <v>10</v>
      </c>
    </row>
    <row r="27" ht="67.5" customHeight="1">
      <c r="A27" s="447"/>
      <c r="B27" s="448">
        <v>4.0</v>
      </c>
      <c r="C27" s="448">
        <v>2.0</v>
      </c>
      <c r="D27" s="449">
        <v>5.0</v>
      </c>
      <c r="E27" s="448">
        <f t="shared" si="1"/>
        <v>11</v>
      </c>
      <c r="G27" s="451"/>
      <c r="H27" s="448">
        <v>3.0</v>
      </c>
      <c r="I27" s="448">
        <v>3.0</v>
      </c>
      <c r="J27" s="448">
        <v>4.0</v>
      </c>
      <c r="K27" s="452">
        <f t="shared" si="2"/>
        <v>10</v>
      </c>
      <c r="M27" s="453"/>
      <c r="N27" s="448">
        <v>4.0</v>
      </c>
      <c r="O27" s="448">
        <v>2.5</v>
      </c>
      <c r="P27" s="448">
        <v>3.0</v>
      </c>
      <c r="Q27" s="454">
        <f t="shared" si="3"/>
        <v>9.5</v>
      </c>
      <c r="S27" s="455"/>
      <c r="T27" s="448">
        <v>4.0</v>
      </c>
      <c r="U27" s="448">
        <v>3.0</v>
      </c>
      <c r="V27" s="448">
        <v>3.0</v>
      </c>
      <c r="W27" s="456">
        <f t="shared" si="4"/>
        <v>10</v>
      </c>
      <c r="Y27" s="457"/>
      <c r="Z27" s="448">
        <v>2.0</v>
      </c>
      <c r="AA27" s="448">
        <v>3.0</v>
      </c>
      <c r="AB27" s="448">
        <v>5.0</v>
      </c>
      <c r="AC27" s="458">
        <f t="shared" si="5"/>
        <v>10</v>
      </c>
    </row>
    <row r="28" ht="67.5" customHeight="1">
      <c r="A28" s="447"/>
      <c r="B28" s="448">
        <v>5.0</v>
      </c>
      <c r="C28" s="448">
        <v>3.5</v>
      </c>
      <c r="D28" s="449">
        <v>2.0</v>
      </c>
      <c r="E28" s="448">
        <f t="shared" si="1"/>
        <v>10.5</v>
      </c>
      <c r="G28" s="451"/>
      <c r="H28" s="448">
        <v>4.0</v>
      </c>
      <c r="I28" s="448">
        <v>3.0</v>
      </c>
      <c r="J28" s="448">
        <v>3.0</v>
      </c>
      <c r="K28" s="452">
        <f t="shared" si="2"/>
        <v>10</v>
      </c>
      <c r="M28" s="453"/>
      <c r="N28" s="448">
        <v>5.0</v>
      </c>
      <c r="O28" s="448">
        <v>1.5</v>
      </c>
      <c r="P28" s="448">
        <v>3.0</v>
      </c>
      <c r="Q28" s="454">
        <f t="shared" si="3"/>
        <v>9.5</v>
      </c>
      <c r="S28" s="455"/>
      <c r="T28" s="448">
        <v>4.0</v>
      </c>
      <c r="U28" s="448">
        <v>3.0</v>
      </c>
      <c r="V28" s="448">
        <v>3.0</v>
      </c>
      <c r="W28" s="456">
        <f t="shared" si="4"/>
        <v>10</v>
      </c>
      <c r="Y28" s="457"/>
      <c r="Z28" s="448">
        <v>4.0</v>
      </c>
      <c r="AA28" s="448">
        <v>3.0</v>
      </c>
      <c r="AB28" s="448">
        <v>3.0</v>
      </c>
      <c r="AC28" s="458">
        <f t="shared" si="5"/>
        <v>10</v>
      </c>
    </row>
    <row r="29" ht="67.5" customHeight="1">
      <c r="A29" s="447"/>
      <c r="B29" s="448">
        <v>2.0</v>
      </c>
      <c r="C29" s="448">
        <v>3.0</v>
      </c>
      <c r="D29" s="449">
        <v>5.5</v>
      </c>
      <c r="E29" s="448">
        <f t="shared" si="1"/>
        <v>10.5</v>
      </c>
      <c r="G29" s="451"/>
      <c r="H29" s="448">
        <v>4.0</v>
      </c>
      <c r="I29" s="448">
        <v>3.0</v>
      </c>
      <c r="J29" s="448">
        <v>3.0</v>
      </c>
      <c r="K29" s="452">
        <f t="shared" si="2"/>
        <v>10</v>
      </c>
      <c r="M29" s="453"/>
      <c r="N29" s="448">
        <v>4.0</v>
      </c>
      <c r="O29" s="448">
        <v>2.5</v>
      </c>
      <c r="P29" s="448">
        <v>3.0</v>
      </c>
      <c r="Q29" s="454">
        <f t="shared" si="3"/>
        <v>9.5</v>
      </c>
      <c r="S29" s="455"/>
      <c r="T29" s="448">
        <v>3.0</v>
      </c>
      <c r="U29" s="448">
        <v>2.0</v>
      </c>
      <c r="V29" s="448">
        <v>5.0</v>
      </c>
      <c r="W29" s="456">
        <f t="shared" si="4"/>
        <v>10</v>
      </c>
      <c r="Y29" s="457"/>
      <c r="Z29" s="448">
        <v>3.0</v>
      </c>
      <c r="AA29" s="448">
        <v>3.0</v>
      </c>
      <c r="AB29" s="448">
        <v>4.0</v>
      </c>
      <c r="AC29" s="458">
        <f t="shared" si="5"/>
        <v>10</v>
      </c>
    </row>
    <row r="30" ht="67.5" customHeight="1">
      <c r="A30" s="459"/>
      <c r="B30" s="460">
        <v>4.0</v>
      </c>
      <c r="C30" s="460">
        <v>4.0</v>
      </c>
      <c r="D30" s="461">
        <v>2.0</v>
      </c>
      <c r="E30" s="448">
        <f t="shared" si="1"/>
        <v>10</v>
      </c>
      <c r="G30" s="451"/>
      <c r="H30" s="448">
        <v>4.0</v>
      </c>
      <c r="I30" s="448">
        <v>3.0</v>
      </c>
      <c r="J30" s="448">
        <v>3.0</v>
      </c>
      <c r="K30" s="452">
        <f t="shared" si="2"/>
        <v>10</v>
      </c>
      <c r="M30" s="453"/>
      <c r="N30" s="448">
        <v>3.0</v>
      </c>
      <c r="O30" s="448">
        <v>5.5</v>
      </c>
      <c r="P30" s="448">
        <v>1.0</v>
      </c>
      <c r="Q30" s="454">
        <f t="shared" si="3"/>
        <v>9.5</v>
      </c>
      <c r="S30" s="455"/>
      <c r="T30" s="448">
        <v>3.0</v>
      </c>
      <c r="U30" s="448">
        <v>3.0</v>
      </c>
      <c r="V30" s="448">
        <v>4.0</v>
      </c>
      <c r="W30" s="456">
        <f t="shared" si="4"/>
        <v>10</v>
      </c>
      <c r="Y30" s="457"/>
      <c r="Z30" s="448">
        <v>4.0</v>
      </c>
      <c r="AA30" s="448">
        <v>4.0</v>
      </c>
      <c r="AB30" s="448">
        <v>3.0</v>
      </c>
      <c r="AC30" s="458">
        <f t="shared" si="5"/>
        <v>11</v>
      </c>
    </row>
    <row r="31" ht="67.5" customHeight="1">
      <c r="A31" s="447"/>
      <c r="B31" s="448">
        <v>3.0</v>
      </c>
      <c r="C31" s="448">
        <v>2.0</v>
      </c>
      <c r="D31" s="449">
        <v>5.0</v>
      </c>
      <c r="E31" s="448">
        <f t="shared" si="1"/>
        <v>10</v>
      </c>
      <c r="G31" s="451"/>
      <c r="H31" s="448">
        <v>2.0</v>
      </c>
      <c r="I31" s="448">
        <v>3.0</v>
      </c>
      <c r="J31" s="448">
        <v>5.0</v>
      </c>
      <c r="K31" s="452">
        <f t="shared" si="2"/>
        <v>10</v>
      </c>
      <c r="M31" s="453"/>
      <c r="N31" s="448">
        <v>3.0</v>
      </c>
      <c r="O31" s="448">
        <v>1.5</v>
      </c>
      <c r="P31" s="448">
        <v>5.0</v>
      </c>
      <c r="Q31" s="454">
        <f t="shared" si="3"/>
        <v>9.5</v>
      </c>
      <c r="S31" s="455"/>
      <c r="T31" s="448">
        <v>4.0</v>
      </c>
      <c r="U31" s="448">
        <v>3.0</v>
      </c>
      <c r="V31" s="448">
        <v>3.0</v>
      </c>
      <c r="W31" s="456">
        <f t="shared" si="4"/>
        <v>10</v>
      </c>
      <c r="Y31" s="457"/>
      <c r="Z31" s="448">
        <v>3.0</v>
      </c>
      <c r="AA31" s="448">
        <v>3.0</v>
      </c>
      <c r="AB31" s="448">
        <v>3.0</v>
      </c>
      <c r="AC31" s="458">
        <f t="shared" si="5"/>
        <v>9</v>
      </c>
    </row>
    <row r="32" ht="67.5" customHeight="1">
      <c r="A32" s="447"/>
      <c r="B32" s="448">
        <v>4.0</v>
      </c>
      <c r="C32" s="448">
        <v>3.0</v>
      </c>
      <c r="D32" s="449">
        <v>3.0</v>
      </c>
      <c r="E32" s="448">
        <f t="shared" si="1"/>
        <v>10</v>
      </c>
      <c r="G32" s="451"/>
      <c r="H32" s="448">
        <v>3.0</v>
      </c>
      <c r="I32" s="448">
        <v>2.0</v>
      </c>
      <c r="J32" s="448">
        <v>5.0</v>
      </c>
      <c r="K32" s="452">
        <f t="shared" si="2"/>
        <v>10</v>
      </c>
      <c r="M32" s="453"/>
      <c r="N32" s="448">
        <v>2.0</v>
      </c>
      <c r="O32" s="448">
        <v>2.0</v>
      </c>
      <c r="P32" s="448">
        <v>5.0</v>
      </c>
      <c r="Q32" s="454">
        <f t="shared" si="3"/>
        <v>9</v>
      </c>
      <c r="S32" s="455"/>
      <c r="T32" s="448">
        <v>3.0</v>
      </c>
      <c r="U32" s="448">
        <v>3.0</v>
      </c>
      <c r="V32" s="448">
        <v>3.0</v>
      </c>
      <c r="W32" s="456">
        <f t="shared" si="4"/>
        <v>9</v>
      </c>
      <c r="Y32" s="467"/>
      <c r="Z32" s="448">
        <v>4.0</v>
      </c>
      <c r="AA32" s="448">
        <v>2.0</v>
      </c>
      <c r="AB32" s="448">
        <v>2.0</v>
      </c>
      <c r="AC32" s="458">
        <f t="shared" si="5"/>
        <v>8</v>
      </c>
    </row>
    <row r="33" ht="67.5" customHeight="1">
      <c r="A33" s="447"/>
      <c r="B33" s="448">
        <v>3.0</v>
      </c>
      <c r="C33" s="448">
        <v>3.0</v>
      </c>
      <c r="D33" s="449">
        <v>4.0</v>
      </c>
      <c r="E33" s="448">
        <f t="shared" si="1"/>
        <v>10</v>
      </c>
      <c r="G33" s="451"/>
      <c r="H33" s="448">
        <v>5.0</v>
      </c>
      <c r="I33" s="448">
        <v>1.5</v>
      </c>
      <c r="J33" s="448">
        <v>3.0</v>
      </c>
      <c r="K33" s="452">
        <f t="shared" si="2"/>
        <v>9.5</v>
      </c>
      <c r="M33" s="453"/>
      <c r="N33" s="448">
        <v>4.0</v>
      </c>
      <c r="O33" s="448">
        <v>1.0</v>
      </c>
      <c r="P33" s="448">
        <v>4.0</v>
      </c>
      <c r="Q33" s="454">
        <f t="shared" si="3"/>
        <v>9</v>
      </c>
      <c r="S33" s="466"/>
      <c r="T33" s="448">
        <v>5.0</v>
      </c>
      <c r="U33" s="448">
        <v>1.0</v>
      </c>
      <c r="V33" s="448">
        <v>3.0</v>
      </c>
      <c r="W33" s="456">
        <f t="shared" si="4"/>
        <v>9</v>
      </c>
      <c r="Y33" s="457"/>
      <c r="Z33" s="448">
        <v>3.0</v>
      </c>
      <c r="AA33" s="448">
        <v>1.5</v>
      </c>
      <c r="AB33" s="448">
        <v>3.0</v>
      </c>
      <c r="AC33" s="458">
        <f t="shared" si="5"/>
        <v>7.5</v>
      </c>
    </row>
    <row r="34" ht="67.5" customHeight="1">
      <c r="A34" s="447"/>
      <c r="B34" s="448">
        <v>4.0</v>
      </c>
      <c r="C34" s="448">
        <v>3.0</v>
      </c>
      <c r="D34" s="449">
        <v>3.0</v>
      </c>
      <c r="E34" s="448">
        <f t="shared" si="1"/>
        <v>10</v>
      </c>
      <c r="G34" s="451"/>
      <c r="H34" s="448">
        <v>5.0</v>
      </c>
      <c r="I34" s="448">
        <v>1.5</v>
      </c>
      <c r="J34" s="448">
        <v>3.0</v>
      </c>
      <c r="K34" s="452">
        <f t="shared" si="2"/>
        <v>9.5</v>
      </c>
      <c r="M34" s="453"/>
      <c r="N34" s="448">
        <v>3.0</v>
      </c>
      <c r="O34" s="448">
        <v>3.0</v>
      </c>
      <c r="P34" s="448">
        <v>2.0</v>
      </c>
      <c r="Q34" s="454">
        <f t="shared" si="3"/>
        <v>8</v>
      </c>
      <c r="S34" s="455"/>
      <c r="T34" s="448">
        <v>4.0</v>
      </c>
      <c r="U34" s="448">
        <v>3.0</v>
      </c>
      <c r="V34" s="448">
        <v>1.0</v>
      </c>
      <c r="W34" s="456">
        <f t="shared" si="4"/>
        <v>8</v>
      </c>
      <c r="Y34" s="457"/>
      <c r="Z34" s="448">
        <v>2.0</v>
      </c>
      <c r="AA34" s="448">
        <v>1.0</v>
      </c>
      <c r="AB34" s="448">
        <v>4.0</v>
      </c>
      <c r="AC34" s="458">
        <f t="shared" si="5"/>
        <v>7</v>
      </c>
    </row>
    <row r="35" ht="67.5" customHeight="1">
      <c r="A35" s="447"/>
      <c r="B35" s="448">
        <v>4.0</v>
      </c>
      <c r="C35" s="448">
        <v>5.0</v>
      </c>
      <c r="D35" s="449">
        <v>1.0</v>
      </c>
      <c r="E35" s="448">
        <f t="shared" si="1"/>
        <v>10</v>
      </c>
      <c r="G35" s="465"/>
      <c r="H35" s="460">
        <v>5.5</v>
      </c>
      <c r="I35" s="460">
        <v>1.0</v>
      </c>
      <c r="J35" s="460">
        <v>3.0</v>
      </c>
      <c r="K35" s="452">
        <f t="shared" si="2"/>
        <v>9.5</v>
      </c>
      <c r="M35" s="453"/>
      <c r="N35" s="448">
        <v>3.0</v>
      </c>
      <c r="O35" s="448">
        <v>0.0</v>
      </c>
      <c r="P35" s="448">
        <v>5.0</v>
      </c>
      <c r="Q35" s="454">
        <f t="shared" si="3"/>
        <v>8</v>
      </c>
      <c r="S35" s="468"/>
      <c r="T35" s="448">
        <v>3.0</v>
      </c>
      <c r="U35" s="448">
        <v>0.0</v>
      </c>
      <c r="V35" s="448">
        <v>5.0</v>
      </c>
      <c r="W35" s="456">
        <f t="shared" si="4"/>
        <v>8</v>
      </c>
      <c r="Y35" s="457"/>
      <c r="Z35" s="448">
        <v>3.0</v>
      </c>
      <c r="AA35" s="448">
        <v>3.0</v>
      </c>
      <c r="AB35" s="448">
        <v>1.0</v>
      </c>
      <c r="AC35" s="458">
        <f t="shared" si="5"/>
        <v>7</v>
      </c>
    </row>
    <row r="36" ht="67.5" customHeight="1">
      <c r="A36" s="447"/>
      <c r="B36" s="448">
        <v>5.0</v>
      </c>
      <c r="C36" s="448">
        <v>1.0</v>
      </c>
      <c r="D36" s="449">
        <v>3.0</v>
      </c>
      <c r="E36" s="448">
        <f t="shared" si="1"/>
        <v>9</v>
      </c>
      <c r="G36" s="451"/>
      <c r="H36" s="448">
        <v>2.0</v>
      </c>
      <c r="I36" s="448">
        <v>2.0</v>
      </c>
      <c r="J36" s="448">
        <v>5.0</v>
      </c>
      <c r="K36" s="452">
        <f t="shared" si="2"/>
        <v>9</v>
      </c>
      <c r="M36" s="453"/>
      <c r="N36" s="448">
        <v>3.0</v>
      </c>
      <c r="O36" s="448">
        <v>3.0</v>
      </c>
      <c r="P36" s="448">
        <v>1.0</v>
      </c>
      <c r="Q36" s="454">
        <f t="shared" si="3"/>
        <v>7</v>
      </c>
      <c r="S36" s="455"/>
      <c r="T36" s="448">
        <v>2.0</v>
      </c>
      <c r="U36" s="448">
        <v>0.5</v>
      </c>
      <c r="V36" s="448">
        <v>5.0</v>
      </c>
      <c r="W36" s="456">
        <f t="shared" si="4"/>
        <v>7.5</v>
      </c>
      <c r="Y36" s="467" t="s">
        <v>14</v>
      </c>
      <c r="Z36" s="448"/>
      <c r="AA36" s="448"/>
      <c r="AB36" s="448"/>
      <c r="AC36" s="458">
        <f t="shared" si="5"/>
        <v>0</v>
      </c>
    </row>
    <row r="37" ht="67.5" customHeight="1">
      <c r="A37" s="459"/>
      <c r="B37" s="460">
        <v>2.0</v>
      </c>
      <c r="C37" s="460">
        <v>3.0</v>
      </c>
      <c r="D37" s="461">
        <v>4.0</v>
      </c>
      <c r="E37" s="448">
        <f t="shared" si="1"/>
        <v>9</v>
      </c>
      <c r="G37" s="451"/>
      <c r="H37" s="448">
        <v>2.0</v>
      </c>
      <c r="I37" s="448">
        <v>3.0</v>
      </c>
      <c r="J37" s="448">
        <v>4.0</v>
      </c>
      <c r="K37" s="452">
        <f t="shared" si="2"/>
        <v>9</v>
      </c>
      <c r="M37" s="453"/>
      <c r="N37" s="448">
        <v>3.0</v>
      </c>
      <c r="O37" s="448">
        <v>1.0</v>
      </c>
      <c r="P37" s="448">
        <v>3.0</v>
      </c>
      <c r="Q37" s="454">
        <f t="shared" si="3"/>
        <v>7</v>
      </c>
      <c r="S37" s="455"/>
      <c r="T37" s="448">
        <v>2.0</v>
      </c>
      <c r="U37" s="448">
        <v>0.0</v>
      </c>
      <c r="V37" s="448">
        <v>5.0</v>
      </c>
      <c r="W37" s="456">
        <f t="shared" si="4"/>
        <v>7</v>
      </c>
      <c r="Y37" s="467" t="s">
        <v>14</v>
      </c>
      <c r="Z37" s="448"/>
      <c r="AA37" s="448"/>
      <c r="AB37" s="448"/>
      <c r="AC37" s="458">
        <f t="shared" si="5"/>
        <v>0</v>
      </c>
    </row>
    <row r="38" ht="67.5" customHeight="1">
      <c r="A38" s="447"/>
      <c r="B38" s="448">
        <v>4.0</v>
      </c>
      <c r="C38" s="448">
        <v>2.0</v>
      </c>
      <c r="D38" s="449">
        <v>3.0</v>
      </c>
      <c r="E38" s="448">
        <f t="shared" si="1"/>
        <v>9</v>
      </c>
      <c r="G38" s="451"/>
      <c r="H38" s="448">
        <v>3.0</v>
      </c>
      <c r="I38" s="448">
        <v>3.0</v>
      </c>
      <c r="J38" s="448">
        <v>3.0</v>
      </c>
      <c r="K38" s="452">
        <f t="shared" si="2"/>
        <v>9</v>
      </c>
      <c r="M38" s="453"/>
      <c r="N38" s="448">
        <v>3.0</v>
      </c>
      <c r="O38" s="448">
        <v>2.0</v>
      </c>
      <c r="P38" s="448">
        <v>1.0</v>
      </c>
      <c r="Q38" s="454">
        <f t="shared" si="3"/>
        <v>6</v>
      </c>
      <c r="S38" s="466" t="s">
        <v>14</v>
      </c>
      <c r="T38" s="469"/>
      <c r="U38" s="469"/>
      <c r="V38" s="469"/>
      <c r="W38" s="456">
        <f t="shared" si="4"/>
        <v>0</v>
      </c>
      <c r="Y38" s="467" t="s">
        <v>14</v>
      </c>
      <c r="Z38" s="448"/>
      <c r="AA38" s="448"/>
      <c r="AB38" s="448"/>
      <c r="AC38" s="458">
        <f t="shared" si="5"/>
        <v>0</v>
      </c>
    </row>
    <row r="39" ht="67.5" customHeight="1">
      <c r="A39" s="459"/>
      <c r="B39" s="460">
        <v>4.0</v>
      </c>
      <c r="C39" s="460">
        <v>4.0</v>
      </c>
      <c r="D39" s="461">
        <v>1.0</v>
      </c>
      <c r="E39" s="448">
        <f t="shared" si="1"/>
        <v>9</v>
      </c>
      <c r="G39" s="451"/>
      <c r="H39" s="448">
        <v>5.0</v>
      </c>
      <c r="I39" s="448">
        <v>2.0</v>
      </c>
      <c r="J39" s="448">
        <v>2.0</v>
      </c>
      <c r="K39" s="452">
        <f t="shared" si="2"/>
        <v>9</v>
      </c>
      <c r="M39" s="453"/>
      <c r="N39" s="448">
        <v>2.0</v>
      </c>
      <c r="O39" s="448">
        <v>3.0</v>
      </c>
      <c r="P39" s="448">
        <v>1.0</v>
      </c>
      <c r="Q39" s="454">
        <f t="shared" si="3"/>
        <v>6</v>
      </c>
      <c r="S39" s="466" t="s">
        <v>14</v>
      </c>
      <c r="T39" s="469"/>
      <c r="U39" s="469"/>
      <c r="V39" s="469"/>
      <c r="W39" s="456">
        <f t="shared" si="4"/>
        <v>0</v>
      </c>
      <c r="Y39" s="467" t="s">
        <v>14</v>
      </c>
      <c r="Z39" s="448"/>
      <c r="AA39" s="448"/>
      <c r="AB39" s="448"/>
      <c r="AC39" s="458">
        <f t="shared" si="5"/>
        <v>0</v>
      </c>
    </row>
    <row r="40" ht="67.5" customHeight="1">
      <c r="A40" s="447"/>
      <c r="B40" s="448">
        <v>4.0</v>
      </c>
      <c r="C40" s="448">
        <v>1.5</v>
      </c>
      <c r="D40" s="449">
        <v>3.0</v>
      </c>
      <c r="E40" s="448">
        <f t="shared" si="1"/>
        <v>8.5</v>
      </c>
      <c r="G40" s="451"/>
      <c r="H40" s="448">
        <v>3.0</v>
      </c>
      <c r="I40" s="448">
        <v>3.0</v>
      </c>
      <c r="J40" s="448">
        <v>2.0</v>
      </c>
      <c r="K40" s="452">
        <f t="shared" si="2"/>
        <v>8</v>
      </c>
      <c r="M40" s="453"/>
      <c r="N40" s="448">
        <v>3.0</v>
      </c>
      <c r="O40" s="448">
        <v>1.0</v>
      </c>
      <c r="P40" s="448">
        <v>1.0</v>
      </c>
      <c r="Q40" s="454">
        <f t="shared" si="3"/>
        <v>5</v>
      </c>
      <c r="S40" s="466" t="s">
        <v>14</v>
      </c>
      <c r="T40" s="469"/>
      <c r="U40" s="469"/>
      <c r="V40" s="469"/>
      <c r="W40" s="456">
        <f t="shared" si="4"/>
        <v>0</v>
      </c>
      <c r="Y40" s="467" t="s">
        <v>14</v>
      </c>
      <c r="Z40" s="448"/>
      <c r="AA40" s="448"/>
      <c r="AB40" s="448"/>
      <c r="AC40" s="458">
        <f t="shared" si="5"/>
        <v>0</v>
      </c>
    </row>
    <row r="41" ht="67.5" customHeight="1">
      <c r="A41" s="447"/>
      <c r="B41" s="448">
        <v>4.0</v>
      </c>
      <c r="C41" s="448">
        <v>3.0</v>
      </c>
      <c r="D41" s="449">
        <v>1.0</v>
      </c>
      <c r="E41" s="448">
        <f t="shared" si="1"/>
        <v>8</v>
      </c>
      <c r="G41" s="451"/>
      <c r="H41" s="448">
        <v>3.0</v>
      </c>
      <c r="I41" s="448">
        <v>1.5</v>
      </c>
      <c r="J41" s="448">
        <v>3.0</v>
      </c>
      <c r="K41" s="452">
        <f t="shared" si="2"/>
        <v>7.5</v>
      </c>
      <c r="M41" s="453"/>
      <c r="N41" s="448">
        <v>2.0</v>
      </c>
      <c r="O41" s="448">
        <v>1.0</v>
      </c>
      <c r="P41" s="448">
        <v>1.0</v>
      </c>
      <c r="Q41" s="454">
        <f t="shared" si="3"/>
        <v>4</v>
      </c>
      <c r="S41" s="466" t="s">
        <v>14</v>
      </c>
      <c r="T41" s="469"/>
      <c r="U41" s="469"/>
      <c r="V41" s="469"/>
      <c r="W41" s="456">
        <f t="shared" si="4"/>
        <v>0</v>
      </c>
      <c r="Y41" s="467" t="s">
        <v>14</v>
      </c>
      <c r="Z41" s="448"/>
      <c r="AA41" s="448"/>
      <c r="AB41" s="448"/>
      <c r="AC41" s="458">
        <f t="shared" si="5"/>
        <v>0</v>
      </c>
    </row>
    <row r="42" ht="67.5" customHeight="1">
      <c r="A42" s="447"/>
      <c r="B42" s="448">
        <v>3.0</v>
      </c>
      <c r="C42" s="448">
        <v>1.5</v>
      </c>
      <c r="D42" s="449">
        <v>3.0</v>
      </c>
      <c r="E42" s="448">
        <f t="shared" si="1"/>
        <v>7.5</v>
      </c>
      <c r="G42" s="451"/>
      <c r="H42" s="448">
        <v>3.0</v>
      </c>
      <c r="I42" s="448">
        <v>1.0</v>
      </c>
      <c r="J42" s="448">
        <v>3.0</v>
      </c>
      <c r="K42" s="452">
        <f t="shared" si="2"/>
        <v>7</v>
      </c>
      <c r="M42" s="464" t="s">
        <v>14</v>
      </c>
      <c r="N42" s="469"/>
      <c r="O42" s="469"/>
      <c r="P42" s="469"/>
      <c r="Q42" s="454">
        <f t="shared" si="3"/>
        <v>0</v>
      </c>
      <c r="S42" s="466" t="s">
        <v>14</v>
      </c>
      <c r="T42" s="469"/>
      <c r="U42" s="469"/>
      <c r="V42" s="469"/>
      <c r="W42" s="456">
        <f t="shared" si="4"/>
        <v>0</v>
      </c>
      <c r="Y42" s="467" t="s">
        <v>14</v>
      </c>
      <c r="Z42" s="448"/>
      <c r="AA42" s="448"/>
      <c r="AB42" s="448"/>
      <c r="AC42" s="458">
        <f t="shared" si="5"/>
        <v>0</v>
      </c>
    </row>
    <row r="43" ht="67.5" customHeight="1">
      <c r="A43" s="447"/>
      <c r="B43" s="448">
        <v>2.0</v>
      </c>
      <c r="C43" s="448">
        <v>0.0</v>
      </c>
      <c r="D43" s="449">
        <v>5.0</v>
      </c>
      <c r="E43" s="448">
        <f t="shared" si="1"/>
        <v>7</v>
      </c>
      <c r="F43" s="450"/>
      <c r="G43" s="451"/>
      <c r="H43" s="448">
        <v>3.0</v>
      </c>
      <c r="I43" s="448">
        <v>3.0</v>
      </c>
      <c r="J43" s="448">
        <v>1.0</v>
      </c>
      <c r="K43" s="452">
        <f t="shared" si="2"/>
        <v>7</v>
      </c>
      <c r="L43" s="450"/>
      <c r="M43" s="464" t="s">
        <v>14</v>
      </c>
      <c r="N43" s="469"/>
      <c r="O43" s="469"/>
      <c r="P43" s="469"/>
      <c r="Q43" s="454">
        <f t="shared" si="3"/>
        <v>0</v>
      </c>
      <c r="R43" s="450"/>
      <c r="S43" s="466" t="s">
        <v>14</v>
      </c>
      <c r="T43" s="469"/>
      <c r="U43" s="469"/>
      <c r="V43" s="469"/>
      <c r="W43" s="456">
        <f t="shared" si="4"/>
        <v>0</v>
      </c>
      <c r="X43" s="450"/>
      <c r="Y43" s="467" t="s">
        <v>14</v>
      </c>
      <c r="Z43" s="448"/>
      <c r="AA43" s="448"/>
      <c r="AB43" s="448"/>
      <c r="AC43" s="458">
        <f t="shared" si="5"/>
        <v>0</v>
      </c>
    </row>
    <row r="44" ht="67.5" customHeight="1">
      <c r="A44" s="447"/>
      <c r="B44" s="448">
        <v>3.0</v>
      </c>
      <c r="C44" s="448">
        <v>1.5</v>
      </c>
      <c r="D44" s="449">
        <v>1.0</v>
      </c>
      <c r="E44" s="448">
        <f t="shared" si="1"/>
        <v>5.5</v>
      </c>
      <c r="F44" s="450"/>
      <c r="G44" s="451"/>
      <c r="H44" s="448">
        <v>3.0</v>
      </c>
      <c r="I44" s="448">
        <v>3.0</v>
      </c>
      <c r="J44" s="448">
        <v>1.0</v>
      </c>
      <c r="K44" s="452">
        <f t="shared" si="2"/>
        <v>7</v>
      </c>
      <c r="L44" s="450"/>
      <c r="M44" s="464" t="s">
        <v>14</v>
      </c>
      <c r="N44" s="469"/>
      <c r="O44" s="469"/>
      <c r="P44" s="469"/>
      <c r="Q44" s="454">
        <f t="shared" si="3"/>
        <v>0</v>
      </c>
      <c r="R44" s="450"/>
      <c r="S44" s="466" t="s">
        <v>14</v>
      </c>
      <c r="T44" s="469"/>
      <c r="U44" s="469"/>
      <c r="V44" s="469"/>
      <c r="W44" s="456">
        <f t="shared" si="4"/>
        <v>0</v>
      </c>
      <c r="X44" s="450"/>
      <c r="Y44" s="467" t="s">
        <v>14</v>
      </c>
      <c r="Z44" s="448"/>
      <c r="AA44" s="448"/>
      <c r="AB44" s="448"/>
      <c r="AC44" s="458">
        <f t="shared" si="5"/>
        <v>0</v>
      </c>
    </row>
    <row r="45" ht="67.5" customHeight="1">
      <c r="A45" s="447"/>
      <c r="B45" s="448">
        <v>1.0</v>
      </c>
      <c r="C45" s="448">
        <v>0.0</v>
      </c>
      <c r="D45" s="449">
        <v>1.0</v>
      </c>
      <c r="E45" s="448">
        <f t="shared" si="1"/>
        <v>2</v>
      </c>
      <c r="F45" s="450"/>
      <c r="G45" s="451"/>
      <c r="H45" s="448">
        <v>2.0</v>
      </c>
      <c r="I45" s="448">
        <v>2.0</v>
      </c>
      <c r="J45" s="448">
        <v>1.0</v>
      </c>
      <c r="K45" s="452">
        <f t="shared" si="2"/>
        <v>5</v>
      </c>
      <c r="L45" s="450"/>
      <c r="M45" s="464" t="s">
        <v>14</v>
      </c>
      <c r="N45" s="469"/>
      <c r="O45" s="469"/>
      <c r="P45" s="469"/>
      <c r="Q45" s="454">
        <f t="shared" si="3"/>
        <v>0</v>
      </c>
      <c r="R45" s="450"/>
      <c r="S45" s="466" t="s">
        <v>14</v>
      </c>
      <c r="T45" s="469"/>
      <c r="U45" s="469"/>
      <c r="V45" s="469"/>
      <c r="W45" s="456">
        <f t="shared" si="4"/>
        <v>0</v>
      </c>
      <c r="X45" s="450"/>
      <c r="Y45" s="467" t="s">
        <v>14</v>
      </c>
      <c r="Z45" s="448"/>
      <c r="AA45" s="448"/>
      <c r="AB45" s="448"/>
      <c r="AC45" s="458">
        <f t="shared" si="5"/>
        <v>0</v>
      </c>
    </row>
    <row r="46" ht="67.5" customHeight="1">
      <c r="A46" s="449" t="s">
        <v>14</v>
      </c>
      <c r="B46" s="448"/>
      <c r="C46" s="448"/>
      <c r="D46" s="449"/>
      <c r="E46" s="448">
        <f t="shared" si="1"/>
        <v>0</v>
      </c>
      <c r="F46" s="450"/>
      <c r="G46" s="465" t="s">
        <v>14</v>
      </c>
      <c r="H46" s="470"/>
      <c r="I46" s="470"/>
      <c r="J46" s="470"/>
      <c r="K46" s="452">
        <f t="shared" si="2"/>
        <v>0</v>
      </c>
      <c r="L46" s="450"/>
      <c r="M46" s="464" t="s">
        <v>14</v>
      </c>
      <c r="N46" s="469"/>
      <c r="O46" s="469"/>
      <c r="P46" s="469"/>
      <c r="Q46" s="454">
        <f t="shared" si="3"/>
        <v>0</v>
      </c>
      <c r="R46" s="450"/>
      <c r="S46" s="466" t="s">
        <v>14</v>
      </c>
      <c r="T46" s="469"/>
      <c r="U46" s="469"/>
      <c r="V46" s="469"/>
      <c r="W46" s="456">
        <f t="shared" si="4"/>
        <v>0</v>
      </c>
      <c r="X46" s="450"/>
      <c r="Y46" s="467" t="s">
        <v>14</v>
      </c>
      <c r="Z46" s="448"/>
      <c r="AA46" s="448"/>
      <c r="AB46" s="448"/>
      <c r="AC46" s="458">
        <f t="shared" si="5"/>
        <v>0</v>
      </c>
    </row>
    <row r="47" ht="67.5" customHeight="1">
      <c r="A47" s="449" t="s">
        <v>14</v>
      </c>
      <c r="B47" s="448"/>
      <c r="C47" s="448"/>
      <c r="D47" s="449"/>
      <c r="E47" s="448">
        <f t="shared" si="1"/>
        <v>0</v>
      </c>
      <c r="F47" s="450"/>
      <c r="G47" s="465" t="s">
        <v>14</v>
      </c>
      <c r="H47" s="470"/>
      <c r="I47" s="470"/>
      <c r="J47" s="470"/>
      <c r="K47" s="452">
        <f t="shared" si="2"/>
        <v>0</v>
      </c>
      <c r="L47" s="450"/>
      <c r="M47" s="464" t="s">
        <v>14</v>
      </c>
      <c r="N47" s="469"/>
      <c r="O47" s="469"/>
      <c r="P47" s="469"/>
      <c r="Q47" s="454">
        <f t="shared" si="3"/>
        <v>0</v>
      </c>
      <c r="R47" s="450"/>
      <c r="S47" s="466" t="s">
        <v>14</v>
      </c>
      <c r="T47" s="469"/>
      <c r="U47" s="469"/>
      <c r="V47" s="469"/>
      <c r="W47" s="456">
        <f t="shared" si="4"/>
        <v>0</v>
      </c>
      <c r="X47" s="450"/>
      <c r="Y47" s="467" t="s">
        <v>14</v>
      </c>
      <c r="Z47" s="448"/>
      <c r="AA47" s="448"/>
      <c r="AB47" s="448"/>
      <c r="AC47" s="458">
        <f t="shared" si="5"/>
        <v>0</v>
      </c>
    </row>
    <row r="48" ht="67.5" customHeight="1">
      <c r="A48" s="449" t="s">
        <v>14</v>
      </c>
      <c r="B48" s="448"/>
      <c r="C48" s="448"/>
      <c r="D48" s="449"/>
      <c r="E48" s="448">
        <f t="shared" si="1"/>
        <v>0</v>
      </c>
      <c r="F48" s="450"/>
      <c r="G48" s="465" t="s">
        <v>14</v>
      </c>
      <c r="H48" s="470"/>
      <c r="I48" s="470"/>
      <c r="J48" s="470"/>
      <c r="K48" s="452">
        <f t="shared" si="2"/>
        <v>0</v>
      </c>
      <c r="L48" s="450"/>
      <c r="M48" s="464" t="s">
        <v>14</v>
      </c>
      <c r="N48" s="469"/>
      <c r="O48" s="469"/>
      <c r="P48" s="469"/>
      <c r="Q48" s="454">
        <f t="shared" si="3"/>
        <v>0</v>
      </c>
      <c r="R48" s="450"/>
      <c r="S48" s="466" t="s">
        <v>14</v>
      </c>
      <c r="T48" s="469"/>
      <c r="U48" s="469"/>
      <c r="V48" s="469"/>
      <c r="W48" s="456">
        <f t="shared" si="4"/>
        <v>0</v>
      </c>
      <c r="X48" s="450"/>
      <c r="Y48" s="467" t="s">
        <v>14</v>
      </c>
      <c r="Z48" s="448"/>
      <c r="AA48" s="448"/>
      <c r="AB48" s="448"/>
      <c r="AC48" s="458">
        <f t="shared" si="5"/>
        <v>0</v>
      </c>
    </row>
  </sheetData>
  <mergeCells count="4">
    <mergeCell ref="F2:F42"/>
    <mergeCell ref="L2:L42"/>
    <mergeCell ref="R2:R42"/>
    <mergeCell ref="X2:X42"/>
  </mergeCells>
  <drawing r:id="rId2"/>
  <legacyDrawing r:id="rId3"/>
  <tableParts count="5">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B7B7"/>
    <outlinePr summaryBelow="0" summaryRight="0"/>
  </sheetPr>
  <sheetViews>
    <sheetView workbookViewId="0"/>
  </sheetViews>
  <sheetFormatPr customHeight="1" defaultColWidth="12.63" defaultRowHeight="15.75"/>
  <cols>
    <col customWidth="1" min="1" max="1" width="7.0"/>
    <col customWidth="1" min="2" max="20" width="14.25"/>
    <col customWidth="1" min="21" max="21" width="7.0"/>
  </cols>
  <sheetData>
    <row r="1" ht="19.5" customHeight="1">
      <c r="A1" s="471" t="str">
        <f>IF(A2=true,"CALC","OFFCALC")</f>
        <v>CALC</v>
      </c>
      <c r="B1" s="472"/>
      <c r="U1" s="473"/>
    </row>
    <row r="2" ht="19.5" customHeight="1">
      <c r="A2" s="474" t="b">
        <v>1</v>
      </c>
      <c r="B2" s="475" t="s">
        <v>1867</v>
      </c>
      <c r="C2" s="476"/>
      <c r="D2" s="476"/>
      <c r="E2" s="477"/>
      <c r="F2" s="478" t="s">
        <v>1868</v>
      </c>
      <c r="G2" s="477"/>
      <c r="H2" s="479" t="s">
        <v>571</v>
      </c>
      <c r="I2" s="480" t="s">
        <v>1869</v>
      </c>
      <c r="J2" s="473"/>
      <c r="K2" s="473"/>
      <c r="L2" s="473"/>
      <c r="M2" s="473"/>
      <c r="N2" s="473"/>
      <c r="O2" s="473"/>
      <c r="P2" s="473"/>
      <c r="Q2" s="481" t="s">
        <v>1870</v>
      </c>
      <c r="R2" s="482" t="s">
        <v>1871</v>
      </c>
      <c r="S2" s="483"/>
      <c r="T2" s="484"/>
    </row>
    <row r="3" ht="19.5" customHeight="1">
      <c r="A3" s="485"/>
      <c r="B3" s="486"/>
      <c r="C3" s="486"/>
      <c r="D3" s="486"/>
      <c r="E3" s="487"/>
      <c r="F3" s="488"/>
      <c r="G3" s="487"/>
      <c r="H3" s="489"/>
      <c r="I3" s="490"/>
      <c r="J3" s="473"/>
      <c r="K3" s="491" t="s">
        <v>1872</v>
      </c>
      <c r="L3" s="492"/>
      <c r="M3" s="492"/>
      <c r="N3" s="492"/>
      <c r="O3" s="493"/>
      <c r="P3" s="473"/>
      <c r="Q3" s="494"/>
      <c r="R3" s="495"/>
      <c r="S3" s="495"/>
      <c r="T3" s="496"/>
    </row>
    <row r="4" ht="19.5" customHeight="1">
      <c r="A4" s="471"/>
      <c r="B4" s="497" t="str">
        <f>IMAGE("https://drive.google.com/uc?id=148SbGA1qjuhVmMRSrdXd_x5lAR2z5I5U")</f>
        <v/>
      </c>
      <c r="C4" s="477"/>
      <c r="D4" s="498" t="s">
        <v>1873</v>
      </c>
      <c r="E4" s="477"/>
      <c r="F4" s="499" t="str">
        <f>IMAGE("https://drive.google.com/uc?id=17IltdQ_0G6p8SC3ZqyCZwwDyiJyj3k8u")</f>
        <v/>
      </c>
      <c r="G4" s="500" t="s">
        <v>1874</v>
      </c>
      <c r="H4" s="501">
        <v>69000.0</v>
      </c>
      <c r="I4" s="473"/>
      <c r="J4" s="473"/>
      <c r="K4" s="502"/>
      <c r="L4" s="503"/>
      <c r="M4" s="503"/>
      <c r="N4" s="503"/>
      <c r="O4" s="504"/>
      <c r="P4" s="473"/>
      <c r="Q4" s="505" t="s">
        <v>1875</v>
      </c>
      <c r="R4" s="506"/>
      <c r="S4" s="507">
        <v>542.0</v>
      </c>
      <c r="T4" s="508" t="s">
        <v>1876</v>
      </c>
    </row>
    <row r="5" ht="19.5" customHeight="1">
      <c r="B5" s="509"/>
      <c r="C5" s="510"/>
      <c r="D5" s="511"/>
      <c r="E5" s="512"/>
      <c r="F5" s="513"/>
      <c r="G5" s="514" t="s">
        <v>1877</v>
      </c>
      <c r="H5" s="515"/>
      <c r="I5" s="473"/>
      <c r="J5" s="473"/>
      <c r="K5" s="516" t="s">
        <v>1878</v>
      </c>
      <c r="L5" s="492"/>
      <c r="M5" s="517" t="str">
        <f>D4</f>
        <v>ИТТО</v>
      </c>
      <c r="N5" s="518">
        <f>SUM(O8:O15)</f>
        <v>570110</v>
      </c>
      <c r="O5" s="519"/>
      <c r="P5" s="473"/>
      <c r="Q5" s="520"/>
      <c r="R5" s="521"/>
      <c r="S5" s="522"/>
      <c r="T5" s="523"/>
    </row>
    <row r="6" ht="19.5" customHeight="1">
      <c r="B6" s="509"/>
      <c r="C6" s="510"/>
      <c r="D6" s="524" t="s">
        <v>1877</v>
      </c>
      <c r="E6" s="525"/>
      <c r="F6" s="513"/>
      <c r="G6" s="526" t="s">
        <v>1879</v>
      </c>
      <c r="H6" s="515"/>
      <c r="I6" s="473"/>
      <c r="J6" s="473"/>
      <c r="K6" s="502"/>
      <c r="L6" s="503"/>
      <c r="M6" s="504"/>
      <c r="N6" s="527"/>
      <c r="O6" s="528"/>
      <c r="P6" s="473"/>
      <c r="Q6" s="529" t="s">
        <v>1880</v>
      </c>
      <c r="R6" s="530" t="s">
        <v>1881</v>
      </c>
      <c r="S6" s="531">
        <v>88.2</v>
      </c>
      <c r="T6" s="494"/>
    </row>
    <row r="7" ht="19.5" customHeight="1">
      <c r="B7" s="509"/>
      <c r="C7" s="510"/>
      <c r="D7" s="511"/>
      <c r="E7" s="512"/>
      <c r="F7" s="532"/>
      <c r="G7" s="533"/>
      <c r="H7" s="515"/>
      <c r="I7" s="473"/>
      <c r="L7" s="534" t="s">
        <v>1882</v>
      </c>
      <c r="M7" s="521"/>
      <c r="N7" s="535" t="s">
        <v>1883</v>
      </c>
      <c r="O7" s="536" t="s">
        <v>571</v>
      </c>
      <c r="P7" s="473"/>
      <c r="Q7" s="537" t="s">
        <v>1884</v>
      </c>
      <c r="R7" s="538"/>
      <c r="S7" s="539" t="s">
        <v>1885</v>
      </c>
      <c r="T7" s="540"/>
    </row>
    <row r="8" ht="19.5" customHeight="1">
      <c r="B8" s="509"/>
      <c r="C8" s="510"/>
      <c r="D8" s="541" t="s">
        <v>1886</v>
      </c>
      <c r="E8" s="525"/>
      <c r="F8" s="542" t="str">
        <f>IMAGE("https://drive.google.com/uc?id=1HReNDIbrb8QmZQUGzbQIltySM2dAi2hX")</f>
        <v/>
      </c>
      <c r="G8" s="500" t="s">
        <v>1887</v>
      </c>
      <c r="H8" s="501">
        <v>611000.0</v>
      </c>
      <c r="L8" s="543" t="s">
        <v>1888</v>
      </c>
      <c r="M8" s="544"/>
      <c r="N8" s="545">
        <f>IFERROR(O8/N5,"-")</f>
        <v>0.230229254</v>
      </c>
      <c r="O8" s="546">
        <f>SUMIF(S98:S124, "ОБ. УДАРЫ", M19:M45)</f>
        <v>131256</v>
      </c>
      <c r="P8" s="473"/>
      <c r="Q8" s="547" t="s">
        <v>1889</v>
      </c>
      <c r="R8" s="548"/>
      <c r="S8" s="549" t="s">
        <v>1890</v>
      </c>
      <c r="T8" s="550"/>
    </row>
    <row r="9" ht="19.5" customHeight="1">
      <c r="B9" s="509"/>
      <c r="C9" s="510"/>
      <c r="D9" s="488"/>
      <c r="E9" s="487"/>
      <c r="F9" s="513"/>
      <c r="G9" s="514" t="s">
        <v>1877</v>
      </c>
      <c r="H9" s="515"/>
      <c r="L9" s="551" t="s">
        <v>1891</v>
      </c>
      <c r="M9" s="544"/>
      <c r="N9" s="552">
        <f>IFERROR(O9/N5,"-")</f>
        <v>0.5449299258</v>
      </c>
      <c r="O9" s="553">
        <f>SUMIF(S98:S124, "ЗАР. УДАРЫ", M19:M45)</f>
        <v>310670</v>
      </c>
      <c r="P9" s="473"/>
      <c r="Q9" s="537" t="s">
        <v>1892</v>
      </c>
      <c r="R9" s="538">
        <v>28.0</v>
      </c>
      <c r="S9" s="539" t="s">
        <v>1893</v>
      </c>
      <c r="T9" s="540"/>
    </row>
    <row r="10" ht="19.5" customHeight="1">
      <c r="B10" s="509"/>
      <c r="C10" s="510"/>
      <c r="D10" s="554"/>
      <c r="E10" s="554"/>
      <c r="F10" s="513"/>
      <c r="G10" s="526" t="s">
        <v>1894</v>
      </c>
      <c r="H10" s="515"/>
      <c r="L10" s="543" t="s">
        <v>1895</v>
      </c>
      <c r="M10" s="544"/>
      <c r="N10" s="545">
        <f>IFERROR(O10/N5,"-")</f>
        <v>0</v>
      </c>
      <c r="O10" s="546">
        <f>SUMIF(S98:S124, "ПРЫЖКИ", M19:M45)</f>
        <v>0</v>
      </c>
      <c r="P10" s="473"/>
      <c r="Q10" s="555" t="s">
        <v>1896</v>
      </c>
      <c r="R10" s="556"/>
      <c r="S10" s="557" t="s">
        <v>1897</v>
      </c>
      <c r="T10" s="558"/>
    </row>
    <row r="11" ht="19.5" customHeight="1">
      <c r="B11" s="488"/>
      <c r="C11" s="487"/>
      <c r="D11" s="554"/>
      <c r="E11" s="554"/>
      <c r="F11" s="532"/>
      <c r="G11" s="533"/>
      <c r="H11" s="515"/>
      <c r="L11" s="551" t="s">
        <v>1898</v>
      </c>
      <c r="M11" s="544"/>
      <c r="N11" s="552">
        <f>IFERROR(O11/N5,"-")</f>
        <v>0.2248408202</v>
      </c>
      <c r="O11" s="553">
        <f>SUMIF(S98:S124, "ЕШКА", M19:M45)</f>
        <v>128184</v>
      </c>
      <c r="P11" s="473"/>
      <c r="Q11" s="537" t="s">
        <v>1899</v>
      </c>
      <c r="R11" s="559"/>
      <c r="S11" s="560">
        <v>6.0</v>
      </c>
      <c r="T11" s="561" t="b">
        <v>1</v>
      </c>
    </row>
    <row r="12" ht="19.5" customHeight="1">
      <c r="B12" s="562" t="s">
        <v>1900</v>
      </c>
      <c r="C12" s="563"/>
      <c r="D12" s="564"/>
      <c r="E12" s="554"/>
      <c r="F12" s="542" t="str">
        <f>IMAGE("https://drive.google.com/uc?id=1mDYD8HCKJHGh8cej6YgrRdguoKQxliqT")</f>
        <v/>
      </c>
      <c r="G12" s="500" t="s">
        <v>1901</v>
      </c>
      <c r="H12" s="501">
        <v>556000.0</v>
      </c>
      <c r="L12" s="543" t="s">
        <v>1902</v>
      </c>
      <c r="M12" s="544"/>
      <c r="N12" s="545">
        <f>IFERROR(O12/N5,"-")</f>
        <v>0</v>
      </c>
      <c r="O12" s="546">
        <f>SUMIF(S98:S124, "УЛЬТА", M19:M45)</f>
        <v>0</v>
      </c>
      <c r="P12" s="473"/>
      <c r="Q12" s="547" t="s">
        <v>1903</v>
      </c>
      <c r="R12" s="565"/>
      <c r="S12" s="566"/>
      <c r="T12" s="567"/>
    </row>
    <row r="13" ht="19.5" customHeight="1">
      <c r="B13" s="568" t="s">
        <v>1904</v>
      </c>
      <c r="C13" s="569" t="b">
        <v>0</v>
      </c>
      <c r="D13" s="570"/>
      <c r="E13" s="554"/>
      <c r="F13" s="513"/>
      <c r="G13" s="514" t="s">
        <v>1905</v>
      </c>
      <c r="H13" s="515"/>
      <c r="L13" s="551" t="s">
        <v>1906</v>
      </c>
      <c r="M13" s="544"/>
      <c r="N13" s="552">
        <f>IFERROR(O13/N5,"-")</f>
        <v>0</v>
      </c>
      <c r="O13" s="553">
        <f>SUMIF(S98:S124, "УНИК. УДАР", M19:M45)</f>
        <v>0</v>
      </c>
      <c r="P13" s="473"/>
      <c r="Q13" s="537" t="s">
        <v>1907</v>
      </c>
      <c r="R13" s="559"/>
      <c r="S13" s="571">
        <v>6.0</v>
      </c>
      <c r="T13" s="567"/>
    </row>
    <row r="14" ht="19.5" customHeight="1">
      <c r="B14" s="572" t="s">
        <v>1908</v>
      </c>
      <c r="C14" s="573" t="b">
        <v>0</v>
      </c>
      <c r="D14" s="570"/>
      <c r="E14" s="554"/>
      <c r="F14" s="513"/>
      <c r="G14" s="526" t="s">
        <v>1894</v>
      </c>
      <c r="H14" s="515"/>
      <c r="L14" s="543" t="s">
        <v>1909</v>
      </c>
      <c r="M14" s="544"/>
      <c r="N14" s="545">
        <f>IFERROR(O14/N5,"-")</f>
        <v>0</v>
      </c>
      <c r="O14" s="546">
        <f>SUM(M51:M67)</f>
        <v>0</v>
      </c>
      <c r="P14" s="473"/>
      <c r="Q14" s="547" t="s">
        <v>1910</v>
      </c>
      <c r="R14" s="565"/>
      <c r="S14" s="566"/>
      <c r="T14" s="574" t="b">
        <v>1</v>
      </c>
    </row>
    <row r="15" ht="19.5" customHeight="1">
      <c r="B15" s="575" t="s">
        <v>1911</v>
      </c>
      <c r="C15" s="576" t="b">
        <v>0</v>
      </c>
      <c r="D15" s="577"/>
      <c r="E15" s="554"/>
      <c r="F15" s="578"/>
      <c r="G15" s="473"/>
      <c r="H15" s="473"/>
      <c r="L15" s="551" t="s">
        <v>1912</v>
      </c>
      <c r="M15" s="544"/>
      <c r="N15" s="579">
        <f>IFERROR(O15/N5,"-")</f>
        <v>0</v>
      </c>
      <c r="O15" s="580">
        <f>SUM(M46)</f>
        <v>0</v>
      </c>
      <c r="P15" s="473"/>
      <c r="Q15" s="537" t="s">
        <v>1913</v>
      </c>
      <c r="R15" s="559"/>
      <c r="S15" s="571">
        <v>6.0</v>
      </c>
      <c r="T15" s="567"/>
    </row>
    <row r="16" ht="19.5" customHeight="1">
      <c r="B16" s="572" t="s">
        <v>1914</v>
      </c>
      <c r="C16" s="573" t="b">
        <v>1</v>
      </c>
      <c r="D16" s="581" t="b">
        <v>1</v>
      </c>
      <c r="E16" s="554"/>
      <c r="F16" s="473"/>
      <c r="G16" s="473"/>
      <c r="H16" s="582" t="s">
        <v>1915</v>
      </c>
      <c r="I16" s="583"/>
      <c r="J16" s="583"/>
      <c r="K16" s="583"/>
      <c r="L16" s="583"/>
      <c r="M16" s="584"/>
      <c r="N16" s="585" t="s">
        <v>572</v>
      </c>
      <c r="O16" s="586"/>
      <c r="P16" s="473"/>
      <c r="Q16" s="587" t="s">
        <v>1916</v>
      </c>
      <c r="R16" s="588"/>
      <c r="S16" s="589"/>
      <c r="T16" s="496"/>
    </row>
    <row r="17" ht="19.5" customHeight="1">
      <c r="B17" s="590" t="s">
        <v>1917</v>
      </c>
      <c r="C17" s="591" t="b">
        <v>0</v>
      </c>
      <c r="D17" s="592" t="s">
        <v>1918</v>
      </c>
      <c r="E17" s="554"/>
      <c r="F17" s="554"/>
      <c r="G17" s="473"/>
      <c r="H17" s="593"/>
      <c r="I17" s="594"/>
      <c r="J17" s="594"/>
      <c r="K17" s="594"/>
      <c r="L17" s="594"/>
      <c r="M17" s="595"/>
      <c r="N17" s="596" t="s">
        <v>1919</v>
      </c>
      <c r="O17" s="597">
        <f t="shared" ref="O17:O19" si="1">L126</f>
        <v>0</v>
      </c>
      <c r="P17" s="473"/>
      <c r="Q17" s="537" t="s">
        <v>1920</v>
      </c>
      <c r="R17" s="598">
        <f>J79*40%</f>
        <v>1027.6</v>
      </c>
      <c r="S17" s="599" t="s">
        <v>1921</v>
      </c>
      <c r="T17" s="600"/>
    </row>
    <row r="18" ht="19.5" customHeight="1">
      <c r="B18" s="601" t="s">
        <v>1922</v>
      </c>
      <c r="C18" s="602" t="s">
        <v>1923</v>
      </c>
      <c r="D18" s="603" t="s">
        <v>1924</v>
      </c>
      <c r="E18" s="554"/>
      <c r="F18" s="554"/>
      <c r="G18" s="473"/>
      <c r="H18" s="604" t="s">
        <v>1925</v>
      </c>
      <c r="I18" s="605" t="s">
        <v>1926</v>
      </c>
      <c r="J18" s="606" t="s">
        <v>78</v>
      </c>
      <c r="K18" s="607" t="s">
        <v>1927</v>
      </c>
      <c r="L18" s="606" t="s">
        <v>1928</v>
      </c>
      <c r="M18" s="608" t="s">
        <v>1929</v>
      </c>
      <c r="N18" s="573" t="s">
        <v>1919</v>
      </c>
      <c r="O18" s="609">
        <f t="shared" si="1"/>
        <v>0</v>
      </c>
      <c r="P18" s="473"/>
      <c r="Q18" s="610" t="s">
        <v>1930</v>
      </c>
      <c r="R18" s="254">
        <f>J79*40%</f>
        <v>1027.6</v>
      </c>
      <c r="S18" s="611" t="s">
        <v>1931</v>
      </c>
      <c r="T18" s="612"/>
    </row>
    <row r="19" ht="19.5" customHeight="1">
      <c r="B19" s="613"/>
      <c r="C19" s="486"/>
      <c r="D19" s="614"/>
      <c r="E19" s="554"/>
      <c r="F19" s="554"/>
      <c r="G19" s="473"/>
      <c r="H19" s="615" t="str">
        <f t="shared" ref="H19:H45" si="2">S98</f>
        <v>ОБ. УДАРЫ</v>
      </c>
      <c r="I19" s="616">
        <f t="shared" ref="I19:I45" si="3">L98</f>
        <v>21142</v>
      </c>
      <c r="J19" s="617" t="s">
        <v>1918</v>
      </c>
      <c r="K19" s="618">
        <v>2.0</v>
      </c>
      <c r="L19" s="619" t="b">
        <v>1</v>
      </c>
      <c r="M19" s="620">
        <f t="array" ref="M19">ROUND((CHOOSE(MATCH(LOWER(TRIM(J19)),{"ПАР";"ОБ.ПАР";"ТАЯНИЕ";"ОБ.ТАЯНИЕ";"ОБОСТР.";"РАЗРАСТ.";"НЕТ"}, 0), G98,G99,G100,G101,100%,100%,100%)*L98)*K19,0)</f>
        <v>42284</v>
      </c>
      <c r="N19" s="621" t="s">
        <v>1932</v>
      </c>
      <c r="O19" s="622">
        <f t="shared" si="1"/>
        <v>0</v>
      </c>
      <c r="P19" s="473"/>
      <c r="Q19" s="623" t="s">
        <v>1933</v>
      </c>
      <c r="R19" s="624"/>
      <c r="S19" s="625" t="s">
        <v>1934</v>
      </c>
      <c r="T19" s="626"/>
    </row>
    <row r="20" ht="19.5" customHeight="1">
      <c r="B20" s="473"/>
      <c r="C20" s="473"/>
      <c r="D20" s="473"/>
      <c r="E20" s="473"/>
      <c r="F20" s="473"/>
      <c r="G20" s="473"/>
      <c r="H20" s="627" t="str">
        <f t="shared" si="2"/>
        <v>ОБ. УДАРЫ</v>
      </c>
      <c r="I20" s="628">
        <f t="shared" si="3"/>
        <v>20493</v>
      </c>
      <c r="J20" s="629" t="s">
        <v>1918</v>
      </c>
      <c r="K20" s="630">
        <v>2.0</v>
      </c>
      <c r="L20" s="631" t="b">
        <v>1</v>
      </c>
      <c r="M20" s="632">
        <f t="array" ref="M20">ROUND((CHOOSE(MATCH(LOWER(TRIM(J20)),{"ПАР";"ОБ.ПАР";"ТАЯНИЕ";"ОБ.ТАЯНИЕ";"ОБОСТР.";"РАЗРАСТ.";"НЕТ"}, 0), G98,G99,G100,G101,100%,100%,100%)*I20)*K20,0)</f>
        <v>40986</v>
      </c>
      <c r="N20" s="473"/>
      <c r="O20" s="473"/>
      <c r="P20" s="473"/>
      <c r="Q20" s="587" t="s">
        <v>1935</v>
      </c>
      <c r="R20" s="633"/>
      <c r="S20" s="634" t="s">
        <v>1936</v>
      </c>
      <c r="T20" s="612"/>
    </row>
    <row r="21" ht="19.5" customHeight="1">
      <c r="B21" s="635" t="s">
        <v>1937</v>
      </c>
      <c r="C21" s="636"/>
      <c r="D21" s="636"/>
      <c r="E21" s="637"/>
      <c r="F21" s="473"/>
      <c r="G21" s="473"/>
      <c r="H21" s="627" t="str">
        <f t="shared" si="2"/>
        <v>ОБ. УДАРЫ</v>
      </c>
      <c r="I21" s="616">
        <f t="shared" si="3"/>
        <v>23993</v>
      </c>
      <c r="J21" s="638" t="s">
        <v>1918</v>
      </c>
      <c r="K21" s="639">
        <v>2.0</v>
      </c>
      <c r="L21" s="640" t="b">
        <v>1</v>
      </c>
      <c r="M21" s="641">
        <f t="array" ref="M21">ROUND((CHOOSE(MATCH(LOWER(TRIM(J21)),{"ПАР";"ОБ.ПАР";"ТАЯНИЕ";"ОБ.ТАЯНИЕ";"ОБОСТР.";"РАЗРАСТ.";"НЕТ"}, 0), G98,G99,G100,G101,100%,100%,100%)*I21)*K21,0)</f>
        <v>47986</v>
      </c>
      <c r="N21" s="473"/>
      <c r="O21" s="642" t="s">
        <v>1938</v>
      </c>
      <c r="P21" s="643"/>
      <c r="Q21" s="644" t="s">
        <v>1939</v>
      </c>
      <c r="R21" s="645"/>
      <c r="S21" s="646" t="s">
        <v>1940</v>
      </c>
      <c r="T21" s="626"/>
    </row>
    <row r="22" ht="19.5" customHeight="1">
      <c r="B22" s="647"/>
      <c r="C22" s="648"/>
      <c r="D22" s="648"/>
      <c r="E22" s="649"/>
      <c r="F22" s="473"/>
      <c r="G22" s="473"/>
      <c r="H22" s="627" t="str">
        <f t="shared" si="2"/>
        <v>ОБ. УДАРЫ</v>
      </c>
      <c r="I22" s="628">
        <f t="shared" si="3"/>
        <v>26854</v>
      </c>
      <c r="J22" s="629" t="s">
        <v>1918</v>
      </c>
      <c r="K22" s="630"/>
      <c r="L22" s="631" t="b">
        <v>0</v>
      </c>
      <c r="M22" s="632">
        <f t="array" ref="M22">ROUND((CHOOSE(MATCH(LOWER(TRIM(J22)),{"ПАР";"ОБ.ПАР";"ТАЯНИЕ";"ОБ.ТАЯНИЕ";"ОБОСТР.";"РАЗРАСТ.";"НЕТ"}, 0), G98,G99,G100,G101,100%,100%,100%)*I22)*K22,0)</f>
        <v>0</v>
      </c>
      <c r="N22" s="473"/>
      <c r="O22" s="650" t="s">
        <v>1941</v>
      </c>
      <c r="P22" s="651"/>
      <c r="Q22" s="652" t="s">
        <v>1942</v>
      </c>
      <c r="R22" s="156"/>
      <c r="S22" s="653" t="s">
        <v>1943</v>
      </c>
      <c r="T22" s="654"/>
    </row>
    <row r="23" ht="19.5" customHeight="1">
      <c r="B23" s="655" t="s">
        <v>1944</v>
      </c>
      <c r="C23" s="544"/>
      <c r="D23" s="656">
        <f t="array" ref="D23">CHOOSE(MATCH(LOWER(TRIM(B23)),{"УРОВЕНЬ 90";"УРОВЕНЬ 80";"УРОВЕНЬ 95";"УРОВЕНЬ 100"}, 0), 90,80,95,100)</f>
        <v>90</v>
      </c>
      <c r="E23" s="657"/>
      <c r="F23" s="473"/>
      <c r="G23" s="473"/>
      <c r="H23" s="627" t="str">
        <f t="shared" si="2"/>
        <v>ЗАР. УДАРЫ</v>
      </c>
      <c r="I23" s="616">
        <f t="shared" si="3"/>
        <v>0</v>
      </c>
      <c r="J23" s="638" t="s">
        <v>1918</v>
      </c>
      <c r="K23" s="639"/>
      <c r="L23" s="640" t="b">
        <v>0</v>
      </c>
      <c r="M23" s="641">
        <f t="array" ref="M23">ROUND((CHOOSE(MATCH(LOWER(TRIM(J23)),{"ПАР";"ОБ.ПАР";"ТАЯНИЕ";"ОБ.ТАЯНИЕ";"ОБОСТР.";"РАЗРАСТ.";"НЕТ"}, 0), G98,G99,G100,G101,100%,100%,100%)*I23)*K23,0)</f>
        <v>0</v>
      </c>
      <c r="N23" s="473"/>
      <c r="O23" s="658" t="s">
        <v>1945</v>
      </c>
      <c r="P23" s="659"/>
      <c r="Q23" s="644" t="s">
        <v>1946</v>
      </c>
      <c r="R23" s="660"/>
      <c r="S23" s="473"/>
      <c r="T23" s="473"/>
    </row>
    <row r="24" ht="19.5" customHeight="1">
      <c r="B24" s="661"/>
      <c r="C24" s="521"/>
      <c r="D24" s="662"/>
      <c r="E24" s="663"/>
      <c r="F24" s="473"/>
      <c r="G24" s="473"/>
      <c r="H24" s="627" t="str">
        <f t="shared" si="2"/>
        <v>ЗАР. УДАРЫ</v>
      </c>
      <c r="I24" s="628">
        <f t="shared" si="3"/>
        <v>26496</v>
      </c>
      <c r="J24" s="629" t="s">
        <v>1918</v>
      </c>
      <c r="K24" s="630">
        <v>8.0</v>
      </c>
      <c r="L24" s="631" t="b">
        <v>1</v>
      </c>
      <c r="M24" s="632">
        <f t="array" ref="M24">ROUND((CHOOSE(MATCH(LOWER(TRIM(J24)),{"ПАР";"ОБ.ПАР";"ТАЯНИЕ";"ОБ.ТАЯНИЕ";"ОБОСТР.";"РАЗРАСТ.";"НЕТ"}, 0), G98,G99,G100,G101,100%,100%,100%)*I24)*K24,0)</f>
        <v>211968</v>
      </c>
      <c r="N24" s="473"/>
      <c r="O24" s="650" t="s">
        <v>1947</v>
      </c>
      <c r="P24" s="651"/>
      <c r="Q24" s="652" t="s">
        <v>1948</v>
      </c>
      <c r="R24" s="664"/>
      <c r="S24" s="473"/>
      <c r="T24" s="473"/>
    </row>
    <row r="25" ht="19.5" customHeight="1">
      <c r="B25" s="665" t="s">
        <v>1949</v>
      </c>
      <c r="C25" s="662"/>
      <c r="D25" s="666">
        <v>227.0</v>
      </c>
      <c r="E25" s="667"/>
      <c r="F25" s="473"/>
      <c r="G25" s="473"/>
      <c r="H25" s="627" t="str">
        <f t="shared" si="2"/>
        <v>ЗАР. УДАРЫ</v>
      </c>
      <c r="I25" s="616">
        <f t="shared" si="3"/>
        <v>49351</v>
      </c>
      <c r="J25" s="638" t="s">
        <v>1918</v>
      </c>
      <c r="K25" s="639">
        <v>2.0</v>
      </c>
      <c r="L25" s="640" t="b">
        <v>1</v>
      </c>
      <c r="M25" s="641">
        <f t="array" ref="M25">ROUND((CHOOSE(MATCH(LOWER(TRIM(J25)),{"ПАР";"ОБ.ПАР";"ТАЯНИЕ";"ОБ.ТАЯНИЕ";"ОБОСТР.";"РАЗРАСТ.";"НЕТ"}, 0), G98,G99,G100,G101,100%,100%,100%)*I25)*K25,0)</f>
        <v>98702</v>
      </c>
      <c r="N25" s="473"/>
      <c r="O25" s="668" t="s">
        <v>1950</v>
      </c>
      <c r="P25" s="669"/>
      <c r="Q25" s="670" t="s">
        <v>1951</v>
      </c>
      <c r="R25" s="671"/>
      <c r="S25" s="473"/>
      <c r="T25" s="473"/>
    </row>
    <row r="26" ht="19.5" customHeight="1">
      <c r="B26" s="672" t="s">
        <v>1952</v>
      </c>
      <c r="C26" s="673">
        <v>12858.0</v>
      </c>
      <c r="D26" s="674" t="s">
        <v>1953</v>
      </c>
      <c r="E26" s="675">
        <v>959.0</v>
      </c>
      <c r="F26" s="473"/>
      <c r="G26" s="473"/>
      <c r="H26" s="627" t="str">
        <f t="shared" si="2"/>
        <v>УЛЬТА</v>
      </c>
      <c r="I26" s="628">
        <f t="shared" si="3"/>
        <v>0</v>
      </c>
      <c r="J26" s="629" t="s">
        <v>1918</v>
      </c>
      <c r="K26" s="630"/>
      <c r="L26" s="631" t="b">
        <v>1</v>
      </c>
      <c r="M26" s="632">
        <f t="array" ref="M26">ROUND((CHOOSE(MATCH(LOWER(TRIM(J26)),{"ПАР";"ОБ.ПАР";"ТАЯНИЕ";"ОБ.ТАЯНИЕ";"ОБОСТР.";"РАЗРАСТ.";"НЕТ"}, 0), G98,G99,G100,G101,100%,100%,100%)*I26)*K26,0)</f>
        <v>0</v>
      </c>
      <c r="N26" s="473"/>
      <c r="O26" s="473"/>
      <c r="P26" s="473"/>
      <c r="Q26" s="473"/>
      <c r="R26" s="473"/>
      <c r="S26" s="473"/>
      <c r="T26" s="473"/>
    </row>
    <row r="27" ht="19.5" customHeight="1">
      <c r="B27" s="676" t="s">
        <v>1954</v>
      </c>
      <c r="C27" s="677"/>
      <c r="D27" s="677"/>
      <c r="E27" s="678"/>
      <c r="F27" s="473"/>
      <c r="G27" s="473"/>
      <c r="H27" s="627" t="str">
        <f t="shared" si="2"/>
        <v>ЕШКА</v>
      </c>
      <c r="I27" s="616">
        <f t="shared" si="3"/>
        <v>64092</v>
      </c>
      <c r="J27" s="638" t="s">
        <v>1918</v>
      </c>
      <c r="K27" s="639">
        <v>2.0</v>
      </c>
      <c r="L27" s="640" t="b">
        <v>1</v>
      </c>
      <c r="M27" s="641">
        <f t="array" ref="M27">ROUND((CHOOSE(MATCH(LOWER(TRIM(J27)),{"ПАР";"ОБ.ПАР";"ТАЯНИЕ";"ОБ.ТАЯНИЕ";"ОБОСТР.";"РАЗРАСТ.";"НЕТ"}, 0), G98,G99,G100,G101,100%,100%,100%)*I27)*K27,0)</f>
        <v>128184</v>
      </c>
      <c r="N27" s="473"/>
      <c r="O27" s="679" t="s">
        <v>1955</v>
      </c>
      <c r="P27" s="680"/>
      <c r="Q27" s="681"/>
      <c r="R27" s="682" t="s">
        <v>1843</v>
      </c>
      <c r="S27" s="680"/>
      <c r="T27" s="681"/>
    </row>
    <row r="28" ht="19.5" customHeight="1">
      <c r="B28" s="683" t="s">
        <v>1956</v>
      </c>
      <c r="C28" s="684"/>
      <c r="D28" s="685" t="s">
        <v>1957</v>
      </c>
      <c r="E28" s="686"/>
      <c r="F28" s="473"/>
      <c r="G28" s="473"/>
      <c r="H28" s="627" t="str">
        <f t="shared" si="2"/>
        <v>УЛЬТА</v>
      </c>
      <c r="I28" s="628">
        <f t="shared" si="3"/>
        <v>0</v>
      </c>
      <c r="J28" s="629" t="s">
        <v>1918</v>
      </c>
      <c r="K28" s="630"/>
      <c r="L28" s="631" t="b">
        <v>0</v>
      </c>
      <c r="M28" s="632">
        <f t="array" ref="M28">ROUND((CHOOSE(MATCH(LOWER(TRIM(J28)),{"ПАР";"ОБ.ПАР";"ТАЯНИЕ";"ОБ.ТАЯНИЕ";"ОБОСТР.";"РАЗРАСТ.";"НЕТ"}, 0), G98,G99,G100,G101,100%,100%,100%)*I28)*K28,0)</f>
        <v>0</v>
      </c>
      <c r="N28" s="473"/>
      <c r="O28" s="687"/>
      <c r="P28" s="688"/>
      <c r="Q28" s="373"/>
      <c r="R28" s="688"/>
      <c r="S28" s="688"/>
      <c r="T28" s="373"/>
    </row>
    <row r="29" ht="19.5" customHeight="1">
      <c r="B29" s="689" t="s">
        <v>1889</v>
      </c>
      <c r="C29" s="690"/>
      <c r="D29" s="549" t="s">
        <v>1958</v>
      </c>
      <c r="E29" s="691"/>
      <c r="F29" s="473"/>
      <c r="G29" s="473"/>
      <c r="H29" s="627" t="str">
        <f t="shared" si="2"/>
        <v>УЛЬТА</v>
      </c>
      <c r="I29" s="616">
        <f t="shared" si="3"/>
        <v>0</v>
      </c>
      <c r="J29" s="638" t="s">
        <v>1918</v>
      </c>
      <c r="K29" s="639"/>
      <c r="L29" s="640" t="b">
        <v>0</v>
      </c>
      <c r="M29" s="641">
        <f t="array" ref="M29">ROUND((CHOOSE(MATCH(LOWER(TRIM(J29)),{"ПАР";"ОБ.ПАР";"ТАЯНИЕ";"ОБ.ТАЯНИЕ";"ОБОСТР.";"РАЗРАСТ.";"НЕТ"}, 0), G98,G99,G100,G101,100%,100%,100%)*I29)*K29,0)</f>
        <v>0</v>
      </c>
      <c r="N29" s="473"/>
      <c r="O29" s="692" t="s">
        <v>1959</v>
      </c>
      <c r="P29" s="565"/>
      <c r="Q29" s="693" t="s">
        <v>1884</v>
      </c>
      <c r="R29" s="548"/>
      <c r="S29" s="549" t="s">
        <v>1885</v>
      </c>
      <c r="T29" s="694"/>
    </row>
    <row r="30" ht="19.5" customHeight="1">
      <c r="B30" s="695" t="s">
        <v>1892</v>
      </c>
      <c r="C30" s="696"/>
      <c r="D30" s="697" t="s">
        <v>1960</v>
      </c>
      <c r="E30" s="698"/>
      <c r="F30" s="473"/>
      <c r="G30" s="473"/>
      <c r="H30" s="627" t="str">
        <f t="shared" si="2"/>
        <v>УНИК. УДАР</v>
      </c>
      <c r="I30" s="628">
        <f t="shared" si="3"/>
        <v>0</v>
      </c>
      <c r="J30" s="629" t="s">
        <v>1918</v>
      </c>
      <c r="K30" s="630"/>
      <c r="L30" s="631" t="b">
        <v>0</v>
      </c>
      <c r="M30" s="632">
        <f t="array" ref="M30">ROUND((CHOOSE(MATCH(LOWER(TRIM(J30)),{"ПАР";"ОБ.ПАР";"ТАЯНИЕ";"ОБ.ТАЯНИЕ";"ОБОСТР.";"РАЗРАСТ.";"НЕТ"}, 0), G98,G99,G100,G101,100%,100%,100%)*I30)*K30,0)</f>
        <v>0</v>
      </c>
      <c r="N30" s="473"/>
      <c r="O30" s="699" t="s">
        <v>1961</v>
      </c>
      <c r="P30" s="700"/>
      <c r="Q30" s="701" t="s">
        <v>1889</v>
      </c>
      <c r="R30" s="702"/>
      <c r="S30" s="703" t="s">
        <v>1890</v>
      </c>
      <c r="T30" s="704"/>
    </row>
    <row r="31" ht="19.5" customHeight="1">
      <c r="B31" s="705" t="s">
        <v>1962</v>
      </c>
      <c r="C31" s="706"/>
      <c r="D31" s="549" t="s">
        <v>1963</v>
      </c>
      <c r="E31" s="691"/>
      <c r="F31" s="515"/>
      <c r="G31" s="473"/>
      <c r="H31" s="627" t="str">
        <f t="shared" si="2"/>
        <v>УЛЬТА</v>
      </c>
      <c r="I31" s="616">
        <f t="shared" si="3"/>
        <v>0</v>
      </c>
      <c r="J31" s="638" t="s">
        <v>1918</v>
      </c>
      <c r="K31" s="639"/>
      <c r="L31" s="640" t="b">
        <v>0</v>
      </c>
      <c r="M31" s="641">
        <f t="array" ref="M31">ROUND((CHOOSE(MATCH(LOWER(TRIM(J31)),{"ПАР";"ОБ.ПАР";"ТАЯНИЕ";"ОБ.ТАЯНИЕ";"ОБОСТР.";"РАЗРАСТ.";"НЕТ"}, 0), G98,G99,G100,G101,100%,100%,100%)*I31)*K31,0)</f>
        <v>0</v>
      </c>
      <c r="N31" s="473"/>
      <c r="O31" s="692" t="s">
        <v>1964</v>
      </c>
      <c r="P31" s="707"/>
      <c r="Q31" s="693" t="s">
        <v>1892</v>
      </c>
      <c r="R31" s="548">
        <f>30+(IF(S35=1, 6,0)+IF(S35=2, 12,0)+IF(S35=3, 18,0)+IF(S35=4, 24,0)+IF(S35=5, 24,0))</f>
        <v>54</v>
      </c>
      <c r="S31" s="549" t="s">
        <v>1893</v>
      </c>
      <c r="T31" s="694"/>
    </row>
    <row r="32" ht="19.5" customHeight="1">
      <c r="B32" s="695" t="s">
        <v>1890</v>
      </c>
      <c r="C32" s="696">
        <v>19.2</v>
      </c>
      <c r="D32" s="697" t="s">
        <v>1965</v>
      </c>
      <c r="E32" s="698"/>
      <c r="F32" s="515"/>
      <c r="G32" s="473"/>
      <c r="H32" s="627" t="str">
        <f t="shared" si="2"/>
        <v>УНИК. УДАР</v>
      </c>
      <c r="I32" s="628">
        <f t="shared" si="3"/>
        <v>0</v>
      </c>
      <c r="J32" s="629" t="s">
        <v>1918</v>
      </c>
      <c r="K32" s="630"/>
      <c r="L32" s="631" t="b">
        <v>0</v>
      </c>
      <c r="M32" s="632">
        <f t="array" ref="M32">ROUND((CHOOSE(MATCH(LOWER(TRIM(J32)),{"ПАР";"ОБ.ПАР";"ТАЯНИЕ";"ОБ.ТАЯНИЕ";"ОБОСТР.";"РАЗРАСТ.";"НЕТ"}, 0), G98,G99,G100,G101,100%,100%,100%)*I32)*K32,0)</f>
        <v>0</v>
      </c>
      <c r="N32" s="473"/>
      <c r="O32" s="699" t="s">
        <v>1934</v>
      </c>
      <c r="P32" s="700"/>
      <c r="Q32" s="701" t="s">
        <v>1966</v>
      </c>
      <c r="R32" s="708"/>
      <c r="S32" s="703" t="s">
        <v>1967</v>
      </c>
      <c r="T32" s="709"/>
    </row>
    <row r="33" ht="19.5" customHeight="1">
      <c r="B33" s="689" t="s">
        <v>1968</v>
      </c>
      <c r="C33" s="690"/>
      <c r="D33" s="549" t="s">
        <v>1969</v>
      </c>
      <c r="E33" s="691"/>
      <c r="F33" s="515"/>
      <c r="G33" s="473"/>
      <c r="H33" s="627" t="str">
        <f t="shared" si="2"/>
        <v>УНИК. УДАР</v>
      </c>
      <c r="I33" s="616">
        <f t="shared" si="3"/>
        <v>0</v>
      </c>
      <c r="J33" s="638" t="s">
        <v>1918</v>
      </c>
      <c r="K33" s="639"/>
      <c r="L33" s="640" t="b">
        <v>0</v>
      </c>
      <c r="M33" s="641">
        <f t="array" ref="M33">ROUND((CHOOSE(MATCH(LOWER(TRIM(J33)),{"ПАР";"ОБ.ПАР";"ТАЯНИЕ";"ОБ.ТАЯНИЕ";"ОБОСТР.";"РАЗРАСТ.";"НЕТ"}, 0), G98,G99,G100,G101,100%,100%,100%)*I33)*K33,0)</f>
        <v>0</v>
      </c>
      <c r="N33" s="515"/>
      <c r="O33" s="692" t="s">
        <v>1970</v>
      </c>
      <c r="P33" s="707"/>
      <c r="Q33" s="710" t="s">
        <v>1971</v>
      </c>
      <c r="R33" s="711">
        <v>4780.0</v>
      </c>
      <c r="S33" s="712" t="s">
        <v>1972</v>
      </c>
      <c r="T33" s="713">
        <v>311.0</v>
      </c>
    </row>
    <row r="34" ht="19.5" customHeight="1">
      <c r="B34" s="695" t="s">
        <v>1967</v>
      </c>
      <c r="C34" s="714"/>
      <c r="D34" s="697" t="s">
        <v>1973</v>
      </c>
      <c r="E34" s="698"/>
      <c r="F34" s="473"/>
      <c r="G34" s="473"/>
      <c r="H34" s="627" t="str">
        <f t="shared" si="2"/>
        <v>УНИК. УДАР</v>
      </c>
      <c r="I34" s="628">
        <f t="shared" si="3"/>
        <v>0</v>
      </c>
      <c r="J34" s="629" t="s">
        <v>1918</v>
      </c>
      <c r="K34" s="630"/>
      <c r="L34" s="631" t="b">
        <v>0</v>
      </c>
      <c r="M34" s="632">
        <f t="array" ref="M34">ROUND((CHOOSE(MATCH(LOWER(TRIM(J34)),{"ПАР";"ОБ.ПАР";"ТАЯНИЕ";"ОБ.ТАЯНИЕ";"ОБОСТР.";"РАЗРАСТ.";"НЕТ"}, 0), G98,G99,G100,G101,100%,100%,100%)*I34)*K34,0)</f>
        <v>0</v>
      </c>
      <c r="N34" s="473"/>
      <c r="O34" s="699" t="s">
        <v>1974</v>
      </c>
      <c r="P34" s="700"/>
      <c r="Q34" s="715" t="s">
        <v>1975</v>
      </c>
      <c r="R34" s="716"/>
      <c r="S34" s="717" t="s">
        <v>1897</v>
      </c>
      <c r="T34" s="294"/>
    </row>
    <row r="35" ht="19.5" customHeight="1">
      <c r="B35" s="718" t="s">
        <v>1933</v>
      </c>
      <c r="C35" s="719"/>
      <c r="D35" s="720" t="s">
        <v>1896</v>
      </c>
      <c r="E35" s="721"/>
      <c r="F35" s="473"/>
      <c r="G35" s="473"/>
      <c r="H35" s="627" t="str">
        <f t="shared" si="2"/>
        <v>УНИК. УДАР</v>
      </c>
      <c r="I35" s="616">
        <f t="shared" si="3"/>
        <v>0</v>
      </c>
      <c r="J35" s="638" t="s">
        <v>1918</v>
      </c>
      <c r="K35" s="639"/>
      <c r="L35" s="640" t="b">
        <v>0</v>
      </c>
      <c r="M35" s="641">
        <f t="array" ref="M35">ROUND((CHOOSE(MATCH(LOWER(TRIM(J35)),{"ПАР";"ОБ.ПАР";"ТАЯНИЕ";"ОБ.ТАЯНИЕ";"ОБОСТР.";"РАЗРАСТ.";"НЕТ"}, 0), G98,G99,G100,G101,100%,100%,100%)*I35)*K35,0)</f>
        <v>0</v>
      </c>
      <c r="N35" s="473"/>
      <c r="O35" s="692" t="s">
        <v>1976</v>
      </c>
      <c r="P35" s="707"/>
      <c r="Q35" s="701" t="s">
        <v>1896</v>
      </c>
      <c r="R35" s="722"/>
      <c r="S35" s="723">
        <v>5.0</v>
      </c>
      <c r="T35" s="724" t="b">
        <v>1</v>
      </c>
    </row>
    <row r="36" ht="19.5" customHeight="1">
      <c r="B36" s="725"/>
      <c r="C36" s="473"/>
      <c r="D36" s="473"/>
      <c r="E36" s="473"/>
      <c r="F36" s="473"/>
      <c r="G36" s="473"/>
      <c r="H36" s="627" t="str">
        <f t="shared" si="2"/>
        <v>УНИК. УДАР</v>
      </c>
      <c r="I36" s="628">
        <f t="shared" si="3"/>
        <v>0</v>
      </c>
      <c r="J36" s="629" t="s">
        <v>1918</v>
      </c>
      <c r="K36" s="630"/>
      <c r="L36" s="631" t="b">
        <v>0</v>
      </c>
      <c r="M36" s="632">
        <f t="array" ref="M36">ROUND((CHOOSE(MATCH(LOWER(TRIM(J36)),{"ПАР";"ОБ.ПАР";"ТАЯНИЕ";"ОБ.ТАЯНИЕ";"ОБОСТР.";"РАЗРАСТ.";"НЕТ"}, 0), G98,G99,G100,G101,100%,100%,100%)*I36)*K36,0)</f>
        <v>0</v>
      </c>
      <c r="N36" s="473"/>
      <c r="O36" s="699" t="s">
        <v>1943</v>
      </c>
      <c r="P36" s="700"/>
      <c r="Q36" s="693" t="s">
        <v>1899</v>
      </c>
      <c r="R36" s="565"/>
      <c r="S36" s="726"/>
      <c r="T36" s="294"/>
    </row>
    <row r="37" ht="19.5" customHeight="1">
      <c r="B37" s="727" t="s">
        <v>1977</v>
      </c>
      <c r="C37" s="728"/>
      <c r="D37" s="729"/>
      <c r="E37" s="727" t="s">
        <v>53</v>
      </c>
      <c r="F37" s="729"/>
      <c r="G37" s="473"/>
      <c r="H37" s="627" t="str">
        <f t="shared" si="2"/>
        <v>УНИК. УДАР</v>
      </c>
      <c r="I37" s="616">
        <f t="shared" si="3"/>
        <v>0</v>
      </c>
      <c r="J37" s="638" t="s">
        <v>1918</v>
      </c>
      <c r="K37" s="639"/>
      <c r="L37" s="640" t="b">
        <v>0</v>
      </c>
      <c r="M37" s="641">
        <f t="array" ref="M37">ROUND((CHOOSE(MATCH(LOWER(TRIM(J37)),{"ПАР";"ОБ.ПАР";"ТАЯНИЕ";"ОБ.ТАЯНИЕ";"ОБОСТР.";"РАЗРАСТ.";"НЕТ"}, 0), G98,G99,G100,G101,100%,100%,100%)*I37)*K37,0)</f>
        <v>0</v>
      </c>
      <c r="N37" s="473"/>
      <c r="O37" s="692" t="s">
        <v>1978</v>
      </c>
      <c r="P37" s="707"/>
      <c r="Q37" s="701" t="s">
        <v>1903</v>
      </c>
      <c r="R37" s="722"/>
      <c r="S37" s="730" t="s">
        <v>1979</v>
      </c>
      <c r="T37" s="731" t="b">
        <v>1</v>
      </c>
    </row>
    <row r="38" ht="19.5" customHeight="1">
      <c r="B38" s="732"/>
      <c r="C38" s="733"/>
      <c r="D38" s="734"/>
      <c r="E38" s="732"/>
      <c r="F38" s="734"/>
      <c r="G38" s="473"/>
      <c r="H38" s="627" t="str">
        <f t="shared" si="2"/>
        <v>УНИК. УДАР</v>
      </c>
      <c r="I38" s="628">
        <f t="shared" si="3"/>
        <v>0</v>
      </c>
      <c r="J38" s="629" t="s">
        <v>1918</v>
      </c>
      <c r="K38" s="630"/>
      <c r="L38" s="631" t="b">
        <v>0</v>
      </c>
      <c r="M38" s="632">
        <f t="array" ref="M38">ROUND((CHOOSE(MATCH(LOWER(TRIM(J38)),{"ПАР";"ОБ.ПАР";"ТАЯНИЕ";"ОБ.ТАЯНИЕ";"ОБОСТР.";"РАЗРАСТ.";"НЕТ"}, 0), G98,G99,G100,G101,100%,100%,100%)*I38)*K38,0)</f>
        <v>0</v>
      </c>
      <c r="N38" s="473"/>
      <c r="O38" s="699" t="s">
        <v>1980</v>
      </c>
      <c r="P38" s="700"/>
      <c r="Q38" s="693" t="s">
        <v>1907</v>
      </c>
      <c r="R38" s="565"/>
      <c r="S38" s="735" t="s">
        <v>1981</v>
      </c>
      <c r="T38" s="294"/>
    </row>
    <row r="39" ht="19.5" customHeight="1">
      <c r="B39" s="736" t="s">
        <v>1982</v>
      </c>
      <c r="D39" s="737" t="b">
        <v>1</v>
      </c>
      <c r="E39" s="736" t="s">
        <v>553</v>
      </c>
      <c r="F39" s="737" t="b">
        <v>0</v>
      </c>
      <c r="G39" s="473"/>
      <c r="H39" s="627" t="str">
        <f t="shared" si="2"/>
        <v>УНИК. УДАР</v>
      </c>
      <c r="I39" s="616">
        <f t="shared" si="3"/>
        <v>0</v>
      </c>
      <c r="J39" s="638" t="s">
        <v>1918</v>
      </c>
      <c r="K39" s="639"/>
      <c r="L39" s="640" t="b">
        <v>0</v>
      </c>
      <c r="M39" s="641">
        <f t="array" ref="M39">ROUND((CHOOSE(MATCH(LOWER(TRIM(J39)),{"ПАР";"ОБ.ПАР";"ТАЯНИЕ";"ОБ.ТАЯНИЕ";"ОБОСТР.";"РАЗРАСТ.";"НЕТ"}, 0), G98,G99,G100,G101,100%,100%,100%)*I39)*K39,0)</f>
        <v>0</v>
      </c>
      <c r="N39" s="473"/>
      <c r="O39" s="692" t="s">
        <v>1983</v>
      </c>
      <c r="P39" s="707"/>
      <c r="Q39" s="701" t="s">
        <v>1910</v>
      </c>
      <c r="R39" s="722"/>
      <c r="S39" s="687"/>
      <c r="T39" s="373"/>
    </row>
    <row r="40" ht="19.5" customHeight="1">
      <c r="B40" s="738"/>
      <c r="D40" s="739"/>
      <c r="E40" s="738"/>
      <c r="F40" s="739"/>
      <c r="G40" s="473"/>
      <c r="H40" s="627" t="str">
        <f t="shared" si="2"/>
        <v>УНИК. УДАР</v>
      </c>
      <c r="I40" s="628">
        <f t="shared" si="3"/>
        <v>0</v>
      </c>
      <c r="J40" s="629" t="s">
        <v>1918</v>
      </c>
      <c r="K40" s="630"/>
      <c r="L40" s="631" t="b">
        <v>0</v>
      </c>
      <c r="M40" s="632">
        <f t="array" ref="M40">ROUND((CHOOSE(MATCH(LOWER(TRIM(J40)),{"ПАР";"ОБ.ПАР";"ТАЯНИЕ";"ОБ.ТАЯНИЕ";"ОБОСТР.";"РАЗРАСТ.";"НЕТ"}, 0), G98,G99,G100,G101,100%,100%,100%)*I40)*K40,0)</f>
        <v>0</v>
      </c>
      <c r="N40" s="473"/>
      <c r="O40" s="699" t="s">
        <v>1984</v>
      </c>
      <c r="P40" s="700"/>
      <c r="Q40" s="740" t="s">
        <v>1913</v>
      </c>
      <c r="R40" s="741"/>
      <c r="S40" s="742" t="s">
        <v>1985</v>
      </c>
      <c r="T40" s="294"/>
    </row>
    <row r="41" ht="19.5" customHeight="1">
      <c r="B41" s="743" t="s">
        <v>1986</v>
      </c>
      <c r="D41" s="744" t="b">
        <v>1</v>
      </c>
      <c r="E41" s="743" t="s">
        <v>554</v>
      </c>
      <c r="F41" s="744" t="b">
        <v>0</v>
      </c>
      <c r="G41" s="473"/>
      <c r="H41" s="627" t="str">
        <f t="shared" si="2"/>
        <v>УНИК. УДАР</v>
      </c>
      <c r="I41" s="616">
        <f t="shared" si="3"/>
        <v>0</v>
      </c>
      <c r="J41" s="638" t="s">
        <v>1918</v>
      </c>
      <c r="K41" s="639"/>
      <c r="L41" s="640" t="b">
        <v>0</v>
      </c>
      <c r="M41" s="641">
        <f t="array" ref="M41">ROUND((CHOOSE(MATCH(LOWER(TRIM(J41)),{"ПАР";"ОБ.ПАР";"ТАЯНИЕ";"ОБ.ТАЯНИЕ";"ОБОСТР.";"РАЗРАСТ.";"НЕТ"}, 0), G98,G99,G100,G101,100%,100%,100%)*I41)*K41,0)</f>
        <v>0</v>
      </c>
      <c r="N41" s="473"/>
      <c r="O41" s="692" t="s">
        <v>1987</v>
      </c>
      <c r="P41" s="565"/>
      <c r="Q41" s="701" t="s">
        <v>1963</v>
      </c>
      <c r="R41" s="704"/>
      <c r="S41" s="687"/>
      <c r="T41" s="373"/>
    </row>
    <row r="42" ht="19.5" customHeight="1">
      <c r="B42" s="738"/>
      <c r="D42" s="739"/>
      <c r="E42" s="738"/>
      <c r="F42" s="739"/>
      <c r="G42" s="473"/>
      <c r="H42" s="627" t="str">
        <f t="shared" si="2"/>
        <v>УНИК. УДАР</v>
      </c>
      <c r="I42" s="628">
        <f t="shared" si="3"/>
        <v>0</v>
      </c>
      <c r="J42" s="629" t="s">
        <v>1918</v>
      </c>
      <c r="K42" s="630"/>
      <c r="L42" s="631" t="b">
        <v>0</v>
      </c>
      <c r="M42" s="632">
        <f t="array" ref="M42">ROUND((CHOOSE(MATCH(LOWER(TRIM(J42)),{"ПАР";"ОБ.ПАР";"ТАЯНИЕ";"ОБ.ТАЯНИЕ";"ОБОСТР.";"РАЗРАСТ.";"НЕТ"}, 0), G98,G99,G100,G101,100%,100%,100%)*I42)*K42,0)</f>
        <v>0</v>
      </c>
      <c r="N42" s="473"/>
      <c r="O42" s="745" t="s">
        <v>1988</v>
      </c>
      <c r="P42" s="746"/>
      <c r="Q42" s="693" t="s">
        <v>1957</v>
      </c>
      <c r="R42" s="565"/>
      <c r="S42" s="747" t="s">
        <v>1989</v>
      </c>
      <c r="T42" s="748"/>
    </row>
    <row r="43" ht="19.5" customHeight="1">
      <c r="B43" s="736" t="s">
        <v>1990</v>
      </c>
      <c r="D43" s="737" t="b">
        <v>1</v>
      </c>
      <c r="E43" s="736" t="s">
        <v>555</v>
      </c>
      <c r="F43" s="737" t="b">
        <v>0</v>
      </c>
      <c r="G43" s="473"/>
      <c r="H43" s="627" t="str">
        <f t="shared" si="2"/>
        <v>УНИК. УДАР</v>
      </c>
      <c r="I43" s="616">
        <f t="shared" si="3"/>
        <v>0</v>
      </c>
      <c r="J43" s="638" t="s">
        <v>1918</v>
      </c>
      <c r="K43" s="639"/>
      <c r="L43" s="640" t="b">
        <v>0</v>
      </c>
      <c r="M43" s="641">
        <f t="array" ref="M43">ROUND((CHOOSE(MATCH(LOWER(TRIM(J43)),{"ПАР";"ОБ.ПАР";"ТАЯНИЕ";"ОБ.ТАЯНИЕ";"ОБОСТР.";"РАЗРАСТ.";"НЕТ"}, 0), G98,G99,G100,G101,100%,100%,100%)*I43)*K43,0)</f>
        <v>0</v>
      </c>
      <c r="N43" s="473"/>
      <c r="O43" s="473"/>
      <c r="P43" s="515"/>
      <c r="Q43" s="701" t="s">
        <v>1958</v>
      </c>
      <c r="R43" s="704"/>
      <c r="S43" s="749" t="s">
        <v>1991</v>
      </c>
      <c r="T43" s="681"/>
    </row>
    <row r="44" ht="19.5" customHeight="1">
      <c r="B44" s="738"/>
      <c r="D44" s="739"/>
      <c r="E44" s="738"/>
      <c r="F44" s="739"/>
      <c r="G44" s="473"/>
      <c r="H44" s="627" t="str">
        <f t="shared" si="2"/>
        <v>УНИК. УДАР</v>
      </c>
      <c r="I44" s="628">
        <f t="shared" si="3"/>
        <v>0</v>
      </c>
      <c r="J44" s="629" t="s">
        <v>1918</v>
      </c>
      <c r="K44" s="630"/>
      <c r="L44" s="631" t="b">
        <v>0</v>
      </c>
      <c r="M44" s="632">
        <f t="array" ref="M44">ROUND((CHOOSE(MATCH(LOWER(TRIM(J44)),{"ПАР";"ОБ.ПАР";"ТАЯНИЕ";"ОБ.ТАЯНИЕ";"ОБОСТР.";"РАЗРАСТ.";"НЕТ"}, 0), G98,G99,G100,G101,100%,100%,100%)*I44)*K44,0)</f>
        <v>0</v>
      </c>
      <c r="N44" s="473"/>
      <c r="O44" s="473"/>
      <c r="P44" s="515"/>
      <c r="Q44" s="693" t="s">
        <v>1960</v>
      </c>
      <c r="R44" s="694"/>
      <c r="S44" s="687"/>
      <c r="T44" s="373"/>
    </row>
    <row r="45" ht="19.5" customHeight="1">
      <c r="B45" s="743" t="s">
        <v>1992</v>
      </c>
      <c r="D45" s="744" t="b">
        <v>1</v>
      </c>
      <c r="E45" s="743" t="s">
        <v>556</v>
      </c>
      <c r="F45" s="744" t="b">
        <v>0</v>
      </c>
      <c r="G45" s="473"/>
      <c r="H45" s="627" t="str">
        <f t="shared" si="2"/>
        <v>УНИК. УДАР</v>
      </c>
      <c r="I45" s="616">
        <f t="shared" si="3"/>
        <v>0</v>
      </c>
      <c r="J45" s="638" t="s">
        <v>1918</v>
      </c>
      <c r="K45" s="639"/>
      <c r="L45" s="640" t="b">
        <v>0</v>
      </c>
      <c r="M45" s="641">
        <f t="array" ref="M45">ROUND((CHOOSE(MATCH(LOWER(TRIM(J45)),{"ПАР";"ОБ.ПАР";"ТАЯНИЕ";"ОБ.ТАЯНИЕ";"ОБОСТР.";"РАЗРАСТ.";"НЕТ"}, 0), G98,G99,G100,G101,100%,100%,100%)*I45)*K45,0)</f>
        <v>0</v>
      </c>
      <c r="N45" s="473"/>
      <c r="O45" s="473"/>
      <c r="P45" s="515"/>
      <c r="Q45" s="701" t="s">
        <v>1965</v>
      </c>
      <c r="R45" s="722">
        <f>IF(S35=1, 6,0)+IF(S35=2, 12,0)+IF(S35=3, 18,0)+IF(S35=4, 24,0)+IF(S35=5, 24,0)</f>
        <v>24</v>
      </c>
      <c r="S45" s="747" t="s">
        <v>1993</v>
      </c>
      <c r="T45" s="748"/>
    </row>
    <row r="46" ht="19.5" customHeight="1">
      <c r="B46" s="732"/>
      <c r="C46" s="733"/>
      <c r="D46" s="734"/>
      <c r="E46" s="738"/>
      <c r="F46" s="739"/>
      <c r="G46" s="473"/>
      <c r="H46" s="750" t="str">
        <f>P125</f>
        <v>ПРОЧЕЕ</v>
      </c>
      <c r="I46" s="751">
        <f>J125</f>
        <v>0</v>
      </c>
      <c r="J46" s="752" t="s">
        <v>1918</v>
      </c>
      <c r="K46" s="753"/>
      <c r="L46" s="754"/>
      <c r="M46" s="755">
        <f t="array" ref="M46">ROUND((CHOOSE(MATCH(LOWER(TRIM(J46)),{"ПАР";"ОБ.ПАР";"ТАЯНИЕ";"ОБ.ТАЯНИЕ";"ОБОСТР.";"РАЗРАСТ.";"НЕТ"}, 0), G98,G99,G100,G101,100%,100%,100%)*I46)*K46,0)</f>
        <v>0</v>
      </c>
      <c r="N46" s="473"/>
      <c r="O46" s="473"/>
      <c r="P46" s="515"/>
      <c r="Q46" s="693" t="s">
        <v>1969</v>
      </c>
      <c r="R46" s="694"/>
      <c r="S46" s="749" t="s">
        <v>1994</v>
      </c>
      <c r="T46" s="681"/>
    </row>
    <row r="47" ht="19.5" customHeight="1">
      <c r="B47" s="756" t="s">
        <v>570</v>
      </c>
      <c r="C47" s="757" t="s">
        <v>571</v>
      </c>
      <c r="D47" s="758" t="s">
        <v>1883</v>
      </c>
      <c r="E47" s="736" t="s">
        <v>557</v>
      </c>
      <c r="F47" s="737" t="b">
        <v>0</v>
      </c>
      <c r="G47" s="473"/>
      <c r="H47" s="473"/>
      <c r="I47" s="473"/>
      <c r="J47" s="473"/>
      <c r="K47" s="473"/>
      <c r="L47" s="473"/>
      <c r="M47" s="473"/>
      <c r="N47" s="473"/>
      <c r="O47" s="473"/>
      <c r="P47" s="515"/>
      <c r="Q47" s="759" t="s">
        <v>1973</v>
      </c>
      <c r="R47" s="760"/>
      <c r="S47" s="687"/>
      <c r="T47" s="373"/>
    </row>
    <row r="48" ht="19.5" customHeight="1">
      <c r="B48" s="761"/>
      <c r="C48" s="762"/>
      <c r="D48" s="763" t="str">
        <f>IFERROR(C48/C48,"-")</f>
        <v>-</v>
      </c>
      <c r="E48" s="738"/>
      <c r="F48" s="739"/>
      <c r="G48" s="473"/>
      <c r="H48" s="473"/>
      <c r="I48" s="764" t="s">
        <v>1995</v>
      </c>
      <c r="J48" s="765"/>
      <c r="K48" s="765"/>
      <c r="L48" s="765"/>
      <c r="M48" s="766"/>
      <c r="N48" s="473"/>
      <c r="O48" s="767" t="s">
        <v>1996</v>
      </c>
      <c r="P48" s="768">
        <f t="array" ref="P48">((R53+T30+CHOOSE(MATCH(LOWER(TRIM(S49)),{"ШК%";"КУ%";"СА%";"ХП%";"ЗЩ%";"БОНУС ЛЕЧЕНИЕ";"МС";"НЕТ"}, 0), 31.1,0,0,0,0,0,0,0))*2)+
(R52+T29+ CHOOSE(MATCH(LOWER(TRIM(S49)),{"ШК%";"КУ%";"СА%";"ХП%";"ЗЩ%";"БОНУС ЛЕЧЕНИЕ";"МС";"НЕТ"}, 0), 0,62.2,0,0,0,0,0,0))</f>
        <v>220.1</v>
      </c>
      <c r="Q48" s="769" t="s">
        <v>1933</v>
      </c>
      <c r="R48" s="556"/>
      <c r="S48" s="747" t="s">
        <v>1997</v>
      </c>
      <c r="T48" s="748"/>
    </row>
    <row r="49" ht="19.5" customHeight="1">
      <c r="B49" s="770"/>
      <c r="C49" s="771"/>
      <c r="D49" s="772" t="str">
        <f>IFERROR(C49/C48,"-")</f>
        <v>-</v>
      </c>
      <c r="E49" s="743" t="s">
        <v>411</v>
      </c>
      <c r="F49" s="744" t="b">
        <v>0</v>
      </c>
      <c r="G49" s="473"/>
      <c r="H49" s="473"/>
      <c r="I49" s="773"/>
      <c r="J49" s="774"/>
      <c r="K49" s="774"/>
      <c r="L49" s="774"/>
      <c r="M49" s="775"/>
      <c r="N49" s="473"/>
      <c r="O49" s="776"/>
      <c r="P49" s="373"/>
      <c r="Q49" s="701" t="s">
        <v>1935</v>
      </c>
      <c r="R49" s="704"/>
      <c r="S49" s="749" t="s">
        <v>1998</v>
      </c>
      <c r="T49" s="681"/>
    </row>
    <row r="50" ht="19.5" customHeight="1">
      <c r="B50" s="761"/>
      <c r="C50" s="762"/>
      <c r="D50" s="763" t="str">
        <f>IFERROR(C50/C48,"-")</f>
        <v>-</v>
      </c>
      <c r="E50" s="732"/>
      <c r="F50" s="734"/>
      <c r="G50" s="473"/>
      <c r="H50" s="473"/>
      <c r="I50" s="777" t="s">
        <v>78</v>
      </c>
      <c r="J50" s="778" t="s">
        <v>571</v>
      </c>
      <c r="K50" s="779" t="s">
        <v>1927</v>
      </c>
      <c r="L50" s="778" t="s">
        <v>1928</v>
      </c>
      <c r="M50" s="780" t="s">
        <v>1929</v>
      </c>
      <c r="N50" s="473"/>
      <c r="O50" s="781" t="s">
        <v>1999</v>
      </c>
      <c r="P50" s="680"/>
      <c r="Q50" s="680"/>
      <c r="R50" s="681"/>
      <c r="S50" s="687"/>
      <c r="T50" s="373"/>
    </row>
    <row r="51" ht="19.5" customHeight="1">
      <c r="B51" s="770"/>
      <c r="C51" s="771"/>
      <c r="D51" s="772" t="str">
        <f>IFERROR(C51/C48,"-")</f>
        <v>-</v>
      </c>
      <c r="E51" s="473"/>
      <c r="F51" s="473"/>
      <c r="G51" s="473"/>
      <c r="H51" s="473"/>
      <c r="I51" s="782" t="s">
        <v>2000</v>
      </c>
      <c r="J51" s="783">
        <f>F104</f>
        <v>0</v>
      </c>
      <c r="K51" s="784"/>
      <c r="L51" s="783" t="s">
        <v>14</v>
      </c>
      <c r="M51" s="785">
        <f>J51*K51</f>
        <v>0</v>
      </c>
      <c r="N51" s="473"/>
      <c r="O51" s="687"/>
      <c r="P51" s="688"/>
      <c r="Q51" s="688"/>
      <c r="R51" s="373"/>
      <c r="S51" s="786"/>
      <c r="T51" s="786"/>
    </row>
    <row r="52" ht="19.5" customHeight="1">
      <c r="B52" s="761"/>
      <c r="C52" s="762"/>
      <c r="D52" s="763" t="str">
        <f>IFERROR(C52/C48,"-")</f>
        <v>-</v>
      </c>
      <c r="E52" s="473"/>
      <c r="F52" s="787" t="s">
        <v>68</v>
      </c>
      <c r="G52" s="788" t="s">
        <v>1928</v>
      </c>
      <c r="H52" s="473"/>
      <c r="I52" s="789" t="s">
        <v>2001</v>
      </c>
      <c r="J52" s="790"/>
      <c r="K52" s="791"/>
      <c r="L52" s="792" t="s">
        <v>14</v>
      </c>
      <c r="M52" s="793"/>
      <c r="N52" s="473"/>
      <c r="O52" s="693" t="s">
        <v>1884</v>
      </c>
      <c r="P52" s="794" t="s">
        <v>2002</v>
      </c>
      <c r="Q52" s="549" t="s">
        <v>1885</v>
      </c>
      <c r="R52" s="795" t="s">
        <v>2003</v>
      </c>
      <c r="S52" s="796" t="s">
        <v>2004</v>
      </c>
      <c r="T52" s="797"/>
    </row>
    <row r="53" ht="19.5" customHeight="1">
      <c r="B53" s="770"/>
      <c r="C53" s="771"/>
      <c r="D53" s="772" t="str">
        <f>IFERROR(C53/C48,"-")</f>
        <v>-</v>
      </c>
      <c r="E53" s="473"/>
      <c r="F53" s="798" t="s">
        <v>2005</v>
      </c>
      <c r="G53" s="799" t="b">
        <v>0</v>
      </c>
      <c r="H53" s="473"/>
      <c r="I53" s="800" t="s">
        <v>2006</v>
      </c>
      <c r="J53" s="801"/>
      <c r="K53" s="802"/>
      <c r="L53" s="803" t="s">
        <v>14</v>
      </c>
      <c r="M53" s="804"/>
      <c r="N53" s="473"/>
      <c r="O53" s="701" t="s">
        <v>1892</v>
      </c>
      <c r="P53" s="805" t="s">
        <v>2007</v>
      </c>
      <c r="Q53" s="703" t="s">
        <v>1890</v>
      </c>
      <c r="R53" s="806" t="s">
        <v>2008</v>
      </c>
      <c r="S53" s="807"/>
      <c r="T53" s="807"/>
    </row>
    <row r="54" ht="19.5" customHeight="1">
      <c r="B54" s="808"/>
      <c r="C54" s="809"/>
      <c r="D54" s="810" t="str">
        <f>IFERROR(C54/C48,"-")</f>
        <v>-</v>
      </c>
      <c r="E54" s="473"/>
      <c r="F54" s="811" t="s">
        <v>2009</v>
      </c>
      <c r="G54" s="812" t="b">
        <v>0</v>
      </c>
      <c r="H54" s="473"/>
      <c r="I54" s="813" t="s">
        <v>2010</v>
      </c>
      <c r="J54" s="629">
        <f t="shared" ref="J54:J56" si="4">F107</f>
        <v>4013</v>
      </c>
      <c r="K54" s="630"/>
      <c r="L54" s="629" t="s">
        <v>14</v>
      </c>
      <c r="M54" s="814">
        <f t="shared" ref="M54:M67" si="5">J54*K54</f>
        <v>0</v>
      </c>
      <c r="N54" s="473"/>
      <c r="O54" s="693" t="s">
        <v>1889</v>
      </c>
      <c r="P54" s="794" t="s">
        <v>2002</v>
      </c>
      <c r="Q54" s="549" t="s">
        <v>1893</v>
      </c>
      <c r="R54" s="795" t="s">
        <v>2011</v>
      </c>
      <c r="S54" s="796" t="s">
        <v>2012</v>
      </c>
      <c r="T54" s="797"/>
    </row>
    <row r="55" ht="19.5" customHeight="1">
      <c r="B55" s="473"/>
      <c r="C55" s="473"/>
      <c r="D55" s="473"/>
      <c r="E55" s="473"/>
      <c r="F55" s="798" t="s">
        <v>2013</v>
      </c>
      <c r="G55" s="799" t="b">
        <v>0</v>
      </c>
      <c r="H55" s="473"/>
      <c r="I55" s="815" t="s">
        <v>2014</v>
      </c>
      <c r="J55" s="816">
        <f t="shared" si="4"/>
        <v>6020</v>
      </c>
      <c r="K55" s="817"/>
      <c r="L55" s="816" t="s">
        <v>14</v>
      </c>
      <c r="M55" s="818">
        <f t="shared" si="5"/>
        <v>0</v>
      </c>
      <c r="N55" s="473"/>
      <c r="O55" s="701" t="s">
        <v>2015</v>
      </c>
      <c r="P55" s="708">
        <v>837.0</v>
      </c>
      <c r="Q55" s="703" t="s">
        <v>2016</v>
      </c>
      <c r="R55" s="819">
        <v>38.0</v>
      </c>
      <c r="S55" s="807"/>
      <c r="T55" s="807"/>
    </row>
    <row r="56" ht="19.5" customHeight="1">
      <c r="B56" s="820" t="s">
        <v>2017</v>
      </c>
      <c r="C56" s="821"/>
      <c r="D56" s="821"/>
      <c r="E56" s="822"/>
      <c r="F56" s="811" t="s">
        <v>2018</v>
      </c>
      <c r="G56" s="812" t="b">
        <v>0</v>
      </c>
      <c r="H56" s="473"/>
      <c r="I56" s="813" t="s">
        <v>2019</v>
      </c>
      <c r="J56" s="629">
        <f t="shared" si="4"/>
        <v>6020</v>
      </c>
      <c r="K56" s="630"/>
      <c r="L56" s="629" t="s">
        <v>14</v>
      </c>
      <c r="M56" s="823">
        <f t="shared" si="5"/>
        <v>0</v>
      </c>
      <c r="N56" s="473"/>
      <c r="O56" s="710" t="s">
        <v>2020</v>
      </c>
      <c r="P56" s="711">
        <v>69.0</v>
      </c>
      <c r="Q56" s="712" t="s">
        <v>1967</v>
      </c>
      <c r="R56" s="824">
        <v>70.0</v>
      </c>
      <c r="S56" s="796" t="s">
        <v>2021</v>
      </c>
      <c r="T56" s="797"/>
    </row>
    <row r="57" ht="19.5" customHeight="1">
      <c r="B57" s="825"/>
      <c r="C57" s="826"/>
      <c r="D57" s="826"/>
      <c r="E57" s="827"/>
      <c r="F57" s="798" t="s">
        <v>2022</v>
      </c>
      <c r="G57" s="799" t="b">
        <v>0</v>
      </c>
      <c r="H57" s="473"/>
      <c r="I57" s="815" t="s">
        <v>2023</v>
      </c>
      <c r="J57" s="816">
        <f>D110</f>
        <v>4013</v>
      </c>
      <c r="K57" s="817"/>
      <c r="L57" s="816" t="s">
        <v>14</v>
      </c>
      <c r="M57" s="818">
        <f t="shared" si="5"/>
        <v>0</v>
      </c>
      <c r="N57" s="473"/>
      <c r="O57" s="828"/>
      <c r="Q57" s="828"/>
      <c r="S57" s="807"/>
      <c r="T57" s="807"/>
    </row>
    <row r="58" ht="19.5" customHeight="1">
      <c r="B58" s="829" t="s">
        <v>1884</v>
      </c>
      <c r="C58" s="690"/>
      <c r="D58" s="549" t="s">
        <v>1885</v>
      </c>
      <c r="E58" s="830"/>
      <c r="F58" s="811" t="s">
        <v>2024</v>
      </c>
      <c r="G58" s="812" t="b">
        <v>0</v>
      </c>
      <c r="H58" s="473"/>
      <c r="I58" s="813" t="s">
        <v>2025</v>
      </c>
      <c r="J58" s="629">
        <f t="shared" ref="J58:J60" si="6">F111</f>
        <v>8426</v>
      </c>
      <c r="K58" s="630"/>
      <c r="L58" s="629" t="s">
        <v>14</v>
      </c>
      <c r="M58" s="823">
        <f t="shared" si="5"/>
        <v>0</v>
      </c>
      <c r="N58" s="473"/>
      <c r="O58" s="831" t="s">
        <v>2026</v>
      </c>
      <c r="P58" s="832"/>
      <c r="Q58" s="832"/>
      <c r="R58" s="833"/>
      <c r="S58" s="834" t="s">
        <v>2027</v>
      </c>
      <c r="T58" s="835"/>
    </row>
    <row r="59" ht="19.5" customHeight="1">
      <c r="B59" s="836" t="s">
        <v>1889</v>
      </c>
      <c r="C59" s="837"/>
      <c r="D59" s="838" t="s">
        <v>1890</v>
      </c>
      <c r="E59" s="839"/>
      <c r="F59" s="798" t="s">
        <v>2028</v>
      </c>
      <c r="G59" s="799" t="b">
        <v>0</v>
      </c>
      <c r="H59" s="473"/>
      <c r="I59" s="815" t="s">
        <v>2029</v>
      </c>
      <c r="J59" s="816">
        <f t="shared" si="6"/>
        <v>4213</v>
      </c>
      <c r="K59" s="817"/>
      <c r="L59" s="816" t="s">
        <v>14</v>
      </c>
      <c r="M59" s="818">
        <f t="shared" si="5"/>
        <v>0</v>
      </c>
      <c r="N59" s="473"/>
      <c r="O59" s="840"/>
      <c r="P59" s="841"/>
      <c r="Q59" s="841"/>
      <c r="R59" s="807"/>
      <c r="S59" s="842"/>
      <c r="T59" s="843"/>
    </row>
    <row r="60" ht="19.5" customHeight="1">
      <c r="B60" s="829" t="s">
        <v>1892</v>
      </c>
      <c r="C60" s="690"/>
      <c r="D60" s="549" t="s">
        <v>1893</v>
      </c>
      <c r="E60" s="830"/>
      <c r="F60" s="811" t="s">
        <v>2030</v>
      </c>
      <c r="G60" s="812" t="b">
        <v>0</v>
      </c>
      <c r="H60" s="473"/>
      <c r="I60" s="813" t="s">
        <v>2031</v>
      </c>
      <c r="J60" s="629">
        <f t="shared" si="6"/>
        <v>702</v>
      </c>
      <c r="K60" s="630"/>
      <c r="L60" s="629" t="s">
        <v>14</v>
      </c>
      <c r="M60" s="823">
        <f t="shared" si="5"/>
        <v>0</v>
      </c>
      <c r="N60" s="473"/>
      <c r="O60" s="844" t="s">
        <v>65</v>
      </c>
      <c r="P60" s="845" t="s">
        <v>2032</v>
      </c>
      <c r="Q60" s="844" t="s">
        <v>2033</v>
      </c>
      <c r="R60" s="845" t="s">
        <v>2032</v>
      </c>
      <c r="S60" s="846" t="s">
        <v>2034</v>
      </c>
      <c r="T60" s="845" t="s">
        <v>2032</v>
      </c>
    </row>
    <row r="61" ht="19.5" customHeight="1">
      <c r="B61" s="836" t="s">
        <v>2020</v>
      </c>
      <c r="C61" s="837"/>
      <c r="D61" s="838" t="s">
        <v>1967</v>
      </c>
      <c r="E61" s="847"/>
      <c r="F61" s="798" t="s">
        <v>2035</v>
      </c>
      <c r="G61" s="799" t="b">
        <v>0</v>
      </c>
      <c r="H61" s="473"/>
      <c r="I61" s="815" t="s">
        <v>2036</v>
      </c>
      <c r="J61" s="816">
        <f t="shared" ref="J61:J62" si="7">D114</f>
        <v>5518</v>
      </c>
      <c r="K61" s="817"/>
      <c r="L61" s="816" t="s">
        <v>14</v>
      </c>
      <c r="M61" s="818">
        <f t="shared" si="5"/>
        <v>0</v>
      </c>
      <c r="N61" s="473"/>
      <c r="O61" s="848"/>
      <c r="P61" s="849"/>
      <c r="Q61" s="848"/>
      <c r="R61" s="849"/>
      <c r="S61" s="850"/>
      <c r="T61" s="849"/>
    </row>
    <row r="62" ht="19.5" customHeight="1">
      <c r="B62" s="829" t="s">
        <v>2015</v>
      </c>
      <c r="C62" s="690"/>
      <c r="D62" s="851" t="s">
        <v>2016</v>
      </c>
      <c r="E62" s="852"/>
      <c r="F62" s="811" t="s">
        <v>2037</v>
      </c>
      <c r="G62" s="812" t="b">
        <v>0</v>
      </c>
      <c r="H62" s="473"/>
      <c r="I62" s="813" t="s">
        <v>2038</v>
      </c>
      <c r="J62" s="629">
        <f t="shared" si="7"/>
        <v>502</v>
      </c>
      <c r="K62" s="630"/>
      <c r="L62" s="629" t="s">
        <v>14</v>
      </c>
      <c r="M62" s="823">
        <f t="shared" si="5"/>
        <v>0</v>
      </c>
      <c r="N62" s="473"/>
      <c r="O62" s="853"/>
      <c r="P62" s="854"/>
      <c r="Q62" s="853"/>
      <c r="R62" s="854"/>
      <c r="S62" s="855"/>
      <c r="T62" s="854"/>
    </row>
    <row r="63" ht="19.5" customHeight="1">
      <c r="B63" s="856" t="s">
        <v>1975</v>
      </c>
      <c r="C63" s="857"/>
      <c r="D63" s="858" t="s">
        <v>1920</v>
      </c>
      <c r="E63" s="859"/>
      <c r="F63" s="798" t="s">
        <v>2039</v>
      </c>
      <c r="G63" s="799" t="b">
        <v>0</v>
      </c>
      <c r="H63" s="473"/>
      <c r="I63" s="815" t="s">
        <v>2040</v>
      </c>
      <c r="J63" s="816">
        <f t="shared" ref="J63:J64" si="8">F116</f>
        <v>1204</v>
      </c>
      <c r="K63" s="817"/>
      <c r="L63" s="816" t="s">
        <v>14</v>
      </c>
      <c r="M63" s="818">
        <f t="shared" si="5"/>
        <v>0</v>
      </c>
      <c r="N63" s="473"/>
      <c r="O63" s="848"/>
      <c r="P63" s="849"/>
      <c r="Q63" s="848"/>
      <c r="R63" s="849"/>
      <c r="S63" s="850"/>
      <c r="T63" s="849"/>
    </row>
    <row r="64" ht="19.5" customHeight="1">
      <c r="B64" s="829" t="s">
        <v>1896</v>
      </c>
      <c r="C64" s="690"/>
      <c r="D64" s="860" t="s">
        <v>2041</v>
      </c>
      <c r="E64" s="630"/>
      <c r="F64" s="811" t="s">
        <v>2042</v>
      </c>
      <c r="G64" s="812" t="b">
        <v>0</v>
      </c>
      <c r="H64" s="473"/>
      <c r="I64" s="813" t="s">
        <v>2043</v>
      </c>
      <c r="J64" s="629">
        <f t="shared" si="8"/>
        <v>1204</v>
      </c>
      <c r="K64" s="630"/>
      <c r="L64" s="629" t="s">
        <v>14</v>
      </c>
      <c r="M64" s="823">
        <f t="shared" si="5"/>
        <v>0</v>
      </c>
      <c r="N64" s="473"/>
      <c r="O64" s="853"/>
      <c r="P64" s="854"/>
      <c r="Q64" s="853"/>
      <c r="R64" s="854"/>
      <c r="S64" s="855"/>
      <c r="T64" s="854"/>
    </row>
    <row r="65" ht="19.5" customHeight="1">
      <c r="B65" s="836" t="s">
        <v>1957</v>
      </c>
      <c r="C65" s="837"/>
      <c r="D65" s="861" t="s">
        <v>2044</v>
      </c>
      <c r="E65" s="862"/>
      <c r="F65" s="798" t="s">
        <v>2045</v>
      </c>
      <c r="G65" s="799" t="b">
        <v>0</v>
      </c>
      <c r="H65" s="473"/>
      <c r="I65" s="815" t="s">
        <v>2046</v>
      </c>
      <c r="J65" s="816">
        <f t="shared" ref="J65:J67" si="9">D118</f>
        <v>6020</v>
      </c>
      <c r="K65" s="817"/>
      <c r="L65" s="816" t="s">
        <v>14</v>
      </c>
      <c r="M65" s="818">
        <f t="shared" si="5"/>
        <v>0</v>
      </c>
      <c r="N65" s="473"/>
      <c r="O65" s="848"/>
      <c r="P65" s="849"/>
      <c r="Q65" s="848"/>
      <c r="R65" s="849"/>
      <c r="S65" s="850"/>
      <c r="T65" s="849"/>
    </row>
    <row r="66" ht="19.5" customHeight="1">
      <c r="B66" s="829" t="s">
        <v>1958</v>
      </c>
      <c r="C66" s="690"/>
      <c r="D66" s="860" t="s">
        <v>2047</v>
      </c>
      <c r="E66" s="630"/>
      <c r="F66" s="811" t="s">
        <v>2048</v>
      </c>
      <c r="G66" s="812" t="b">
        <v>0</v>
      </c>
      <c r="H66" s="473"/>
      <c r="I66" s="813" t="s">
        <v>2049</v>
      </c>
      <c r="J66" s="629">
        <f t="shared" si="9"/>
        <v>3010</v>
      </c>
      <c r="K66" s="630"/>
      <c r="L66" s="629" t="s">
        <v>14</v>
      </c>
      <c r="M66" s="823">
        <f t="shared" si="5"/>
        <v>0</v>
      </c>
      <c r="N66" s="473"/>
      <c r="O66" s="853"/>
      <c r="P66" s="854"/>
      <c r="Q66" s="853"/>
      <c r="R66" s="854"/>
      <c r="S66" s="855"/>
      <c r="T66" s="854"/>
    </row>
    <row r="67" ht="19.5" customHeight="1">
      <c r="B67" s="836" t="s">
        <v>1960</v>
      </c>
      <c r="C67" s="837"/>
      <c r="D67" s="861" t="s">
        <v>2050</v>
      </c>
      <c r="E67" s="862"/>
      <c r="F67" s="798" t="s">
        <v>2051</v>
      </c>
      <c r="G67" s="799" t="b">
        <v>0</v>
      </c>
      <c r="H67" s="473"/>
      <c r="I67" s="815" t="s">
        <v>2052</v>
      </c>
      <c r="J67" s="816">
        <f t="shared" si="9"/>
        <v>2579</v>
      </c>
      <c r="K67" s="817"/>
      <c r="L67" s="816" t="s">
        <v>14</v>
      </c>
      <c r="M67" s="818">
        <f t="shared" si="5"/>
        <v>0</v>
      </c>
      <c r="N67" s="473"/>
      <c r="O67" s="848"/>
      <c r="P67" s="849"/>
      <c r="Q67" s="848"/>
      <c r="R67" s="849"/>
      <c r="S67" s="850"/>
      <c r="T67" s="849"/>
    </row>
    <row r="68" ht="19.5" customHeight="1">
      <c r="B68" s="829" t="s">
        <v>1963</v>
      </c>
      <c r="C68" s="690"/>
      <c r="D68" s="860" t="s">
        <v>2053</v>
      </c>
      <c r="E68" s="630"/>
      <c r="F68" s="811" t="s">
        <v>2054</v>
      </c>
      <c r="G68" s="812" t="b">
        <v>0</v>
      </c>
      <c r="H68" s="473"/>
      <c r="I68" s="863" t="s">
        <v>2055</v>
      </c>
      <c r="J68" s="864" t="s">
        <v>2056</v>
      </c>
      <c r="K68" s="865" t="s">
        <v>1924</v>
      </c>
      <c r="L68" s="864" t="s">
        <v>2057</v>
      </c>
      <c r="M68" s="866" t="s">
        <v>1924</v>
      </c>
      <c r="N68" s="473"/>
      <c r="O68" s="853"/>
      <c r="P68" s="854"/>
      <c r="Q68" s="853"/>
      <c r="R68" s="854"/>
      <c r="S68" s="855"/>
      <c r="T68" s="854"/>
    </row>
    <row r="69" ht="19.5" customHeight="1">
      <c r="B69" s="836" t="s">
        <v>1965</v>
      </c>
      <c r="C69" s="837"/>
      <c r="D69" s="867" t="s">
        <v>1899</v>
      </c>
      <c r="E69" s="868"/>
      <c r="F69" s="798" t="s">
        <v>2058</v>
      </c>
      <c r="G69" s="799" t="b">
        <v>0</v>
      </c>
      <c r="H69" s="473"/>
      <c r="I69" s="869" t="s">
        <v>2059</v>
      </c>
      <c r="J69" s="870" t="s">
        <v>2060</v>
      </c>
      <c r="K69" s="871" t="s">
        <v>1924</v>
      </c>
      <c r="L69" s="870" t="s">
        <v>2061</v>
      </c>
      <c r="M69" s="872" t="s">
        <v>1924</v>
      </c>
      <c r="N69" s="473"/>
      <c r="O69" s="848"/>
      <c r="P69" s="849"/>
      <c r="Q69" s="848"/>
      <c r="R69" s="849"/>
      <c r="S69" s="850"/>
      <c r="T69" s="849"/>
    </row>
    <row r="70" ht="19.5" customHeight="1">
      <c r="B70" s="829" t="s">
        <v>1969</v>
      </c>
      <c r="C70" s="690"/>
      <c r="D70" s="549" t="s">
        <v>1903</v>
      </c>
      <c r="E70" s="830"/>
      <c r="F70" s="811" t="s">
        <v>2062</v>
      </c>
      <c r="G70" s="812" t="b">
        <v>0</v>
      </c>
      <c r="H70" s="473"/>
      <c r="I70" s="873" t="s">
        <v>2063</v>
      </c>
      <c r="J70" s="874" t="s">
        <v>2064</v>
      </c>
      <c r="K70" s="875" t="s">
        <v>1924</v>
      </c>
      <c r="L70" s="874" t="s">
        <v>2065</v>
      </c>
      <c r="M70" s="876" t="s">
        <v>1924</v>
      </c>
      <c r="N70" s="473"/>
      <c r="O70" s="877" t="s">
        <v>2066</v>
      </c>
      <c r="P70" s="821"/>
      <c r="Q70" s="821"/>
      <c r="R70" s="821"/>
      <c r="S70" s="821"/>
      <c r="T70" s="822"/>
    </row>
    <row r="71" ht="19.5" customHeight="1">
      <c r="B71" s="836" t="s">
        <v>1973</v>
      </c>
      <c r="C71" s="837"/>
      <c r="D71" s="838" t="s">
        <v>1907</v>
      </c>
      <c r="E71" s="839"/>
      <c r="F71" s="798" t="s">
        <v>2067</v>
      </c>
      <c r="G71" s="799" t="b">
        <v>0</v>
      </c>
      <c r="H71" s="473"/>
      <c r="I71" s="491" t="s">
        <v>2068</v>
      </c>
      <c r="J71" s="492"/>
      <c r="K71" s="492"/>
      <c r="L71" s="492"/>
      <c r="M71" s="492"/>
      <c r="N71" s="493"/>
      <c r="O71" s="878"/>
      <c r="P71" s="879"/>
      <c r="Q71" s="879"/>
      <c r="R71" s="879"/>
      <c r="S71" s="879"/>
      <c r="T71" s="880"/>
    </row>
    <row r="72" ht="19.5" customHeight="1">
      <c r="B72" s="881" t="s">
        <v>1933</v>
      </c>
      <c r="C72" s="706"/>
      <c r="D72" s="549" t="s">
        <v>1910</v>
      </c>
      <c r="E72" s="830"/>
      <c r="F72" s="811" t="s">
        <v>1887</v>
      </c>
      <c r="G72" s="812" t="b">
        <v>0</v>
      </c>
      <c r="H72" s="473"/>
      <c r="I72" s="502"/>
      <c r="J72" s="503"/>
      <c r="K72" s="503"/>
      <c r="L72" s="503"/>
      <c r="M72" s="503"/>
      <c r="N72" s="504"/>
      <c r="O72" s="882" t="s">
        <v>65</v>
      </c>
      <c r="P72" s="883" t="s">
        <v>1928</v>
      </c>
      <c r="Q72" s="882" t="s">
        <v>65</v>
      </c>
      <c r="R72" s="883" t="s">
        <v>1928</v>
      </c>
      <c r="S72" s="882" t="s">
        <v>2069</v>
      </c>
      <c r="T72" s="884" t="s">
        <v>1928</v>
      </c>
    </row>
    <row r="73" ht="19.5" customHeight="1">
      <c r="B73" s="885" t="s">
        <v>1935</v>
      </c>
      <c r="C73" s="886"/>
      <c r="D73" s="887" t="s">
        <v>1913</v>
      </c>
      <c r="E73" s="888"/>
      <c r="F73" s="798" t="s">
        <v>2070</v>
      </c>
      <c r="G73" s="799" t="b">
        <v>0</v>
      </c>
      <c r="H73" s="473"/>
      <c r="I73" s="889" t="s">
        <v>2071</v>
      </c>
      <c r="J73" s="890">
        <f>(S4+D25)</f>
        <v>769</v>
      </c>
      <c r="K73" s="891" t="s">
        <v>1957</v>
      </c>
      <c r="L73" s="892">
        <f t="array" ref="L73">R42+E28+C65+IF(S46="АФ.ПИРО%",46.6,0)+IF(G53=TRUE, 15,0)+IF(G65=TRUE, 60,0)+IF(G71=TRUE, 40,0)+IF(G76=TRUE, 15,0)+IF(G79=TRUE, 20,0)+CHOOSE(MATCH(LOWER(TRIM(T74)),{"НЕ АКТИВ";"НЕ НАТЛАН";"НАТЛАН"}, 0), 0,12,40)+IF(T78=TRUE, 35, 0)+IF(P77=TRUE, 20, 0)+IF(P81=TRUE, 25.6, 0)</f>
        <v>0</v>
      </c>
      <c r="M73" s="692" t="s">
        <v>1959</v>
      </c>
      <c r="N73" s="893" t="str">
        <f t="shared" ref="N73:N74" si="10">P29</f>
        <v/>
      </c>
      <c r="O73" s="229" t="s">
        <v>2072</v>
      </c>
      <c r="P73" s="894" t="b">
        <v>0</v>
      </c>
      <c r="Q73" s="229" t="s">
        <v>2073</v>
      </c>
      <c r="R73" s="895" t="b">
        <v>0</v>
      </c>
      <c r="S73" s="229" t="s">
        <v>1825</v>
      </c>
      <c r="T73" s="896" t="b">
        <v>0</v>
      </c>
    </row>
    <row r="74" ht="19.5" customHeight="1">
      <c r="B74" s="473"/>
      <c r="C74" s="473"/>
      <c r="D74" s="473"/>
      <c r="E74" s="473"/>
      <c r="F74" s="811" t="s">
        <v>1901</v>
      </c>
      <c r="G74" s="812" t="b">
        <v>0</v>
      </c>
      <c r="H74" s="473"/>
      <c r="I74" s="897" t="s">
        <v>2074</v>
      </c>
      <c r="J74" s="898">
        <f t="array" ref="J74">ROUND((J73)*(100%+R7%+R29%+C28%+C58%+P52%+IF(G76=TRUE, 10,0)%+IF(G65=TRUE, 40,0)%+IF(G61=TRUE, 30,0)% + IF(C13=TRUE, 25,0)%+IF(R6="СА%", S6, 0)% + IF(S43="СА%", 46.6,0)% + IF(S46="СА%", 46.6,0)% + IF(D41=TRUE, 10,0)% + IF(S49="СА%", 46.6,0 )%+IF(T75=TRUE, 20, 0)%+IF(T76=TRUE, 20, 0)%+IF(P73=TRUE, 20, 0)%+IF(P74=TRUE, 48, 0)%+IF(P75=TRUE, 40, 0)%+IF(P76=TRUE, 20, 0)%+IF(P80=TRUE, 32, 0)%+CHOOSE(MATCH(LOWER(TRIM(R82)),{"НЕ АКТИВ";"НЕ ШАБАШ";"ШАБАШ"}, 0), 0,16,28)%)+(T33 + R55 + E62 +IF(G53=TRUE, 1202,0)+IF(G61=TRUE, 810,0)+IF(R75=TRUE,R74*0.48*0.3,0)+IF(R81=TRUE,R80*0.48*0.3,0)+IF(R2="ОМУТ",J78*XLOOKUP(T4,{"РП1"; "РП2"; "РП3"; "РП4";"РП5"},{1.2; 1.5; 1.8; 2.1; 2.4})%,0)+IF(R2="АКВАМАРИН",J75*XLOOKUP(T4,{"РП1"; "РП2"; "РП3"; "РП4";"РП5"},{24; 30; 36; 42; 48})%,0)+IF(R2="СКИТАЮЩИЙСЯ",J75*XLOOKUP(T4,{"РП1"; "РП2"; "РП3"; "РП4";"РП5"},{24; 30; 36; 42; 48})%,0)+IF(R2="ФИНАЛ ГЛУБИН",XLOOKUP(T4,{"РП1"; "РП2"; "РП3"; "РП4";"РП5"},{150; 187.5; 225; 262.5; 300}),0)+IF(D41=TRUE,J79*103.7%,0)+IF(F47=TRUE,J79*18.7%,0)),0)</f>
        <v>3980</v>
      </c>
      <c r="K74" s="899" t="s">
        <v>1958</v>
      </c>
      <c r="L74" s="900">
        <f t="array" ref="L74">R43+E29+C66+IF(S46="АФ.ГИДРО%",46.6,0)+IF(G71=TRUE, 40,0)+IF(G79=TRUE, 20,0)+CHOOSE(MATCH(LOWER(TRIM(T74)),{"НЕ АКТИВ";"НЕ НАТЛАН";"НАТЛАН"}, 0), 0,12,40)+IF(T78=TRUE, 35, 0)+IF(P77=TRUE, 20, 0)+IF(P81=TRUE, 25.6, 0)</f>
        <v>0</v>
      </c>
      <c r="M74" s="699" t="s">
        <v>1961</v>
      </c>
      <c r="N74" s="901" t="str">
        <f t="shared" si="10"/>
        <v/>
      </c>
      <c r="O74" s="156" t="s">
        <v>2075</v>
      </c>
      <c r="P74" s="902" t="b">
        <v>0</v>
      </c>
      <c r="Q74" s="903" t="s">
        <v>2076</v>
      </c>
      <c r="R74" s="904">
        <v>1000.0</v>
      </c>
      <c r="S74" s="156" t="s">
        <v>2077</v>
      </c>
      <c r="T74" s="905" t="s">
        <v>2078</v>
      </c>
    </row>
    <row r="75" ht="19.5" customHeight="1">
      <c r="B75" s="906" t="s">
        <v>2079</v>
      </c>
      <c r="C75" s="907"/>
      <c r="D75" s="907"/>
      <c r="E75" s="908"/>
      <c r="F75" s="798" t="s">
        <v>2080</v>
      </c>
      <c r="G75" s="799" t="b">
        <v>0</v>
      </c>
      <c r="H75" s="473"/>
      <c r="I75" s="909" t="s">
        <v>1967</v>
      </c>
      <c r="J75" s="910">
        <f t="array" ref="J75">T17+T32+R56+C34+E61 + IF(C17=TRUE, 50,0)+CHOOSE(MATCH(LOWER(TRIM(D17)),{"50 МС";"20 МС";"30 МС";"НЕТ"}, 0), 50,20,30,0)+IF(R6="МС", S6,0) + IF(S43="МС", 187,0) + IF(S46="МС", 187,0) + IF(S49="МС", 187,0) +IF(G56=TRUE, K67*6%,0)+IF(G59=TRUE, 80,0)+IF(G66=TRUE, 250,0)+IF(G67=TRUE, 100,0)+IF(G72=TRUE, 125,0)+IF(G79=TRUE, 230,0)+CHOOSE(MATCH(LOWER(TRIM(T80)),{"НЕ АКТИВ";"1 НОД";"2 НОДА"}, 0), 0,60,120)+IF(T81=TRUE,120,0)+IF(P73=TRUE, 100, 0)+IF(P78=TRUE, 40, 0)+IF(R77=TRUE, R76*0.002, 0)+IF(R83=TRUE, 120, 0)</f>
        <v>70</v>
      </c>
      <c r="K75" s="911" t="s">
        <v>1960</v>
      </c>
      <c r="L75" s="912">
        <f t="array" ref="L75">R44+E30+C67+IF(S46="АФ.ЭЛЕКТРО%",46.6,0)+IF(G65=TRUE, 60,0)+IF(G71=TRUE, 40,0)+IF(G79=TRUE, 20,0)+CHOOSE(MATCH(LOWER(TRIM(T74)),{"НЕ АКТИВ";"НЕ НАТЛАН";"НАТЛАН"}, 0), 0,12,40)+IF(T78=TRUE, 35, 0)+IF(P77=TRUE, 20, 0)+IF(P81=TRUE, 25.6, 0)</f>
        <v>0</v>
      </c>
      <c r="M75" s="692" t="s">
        <v>2081</v>
      </c>
      <c r="N75" s="893">
        <f>P31+IF(G78=TRUE, 40,0)</f>
        <v>0</v>
      </c>
      <c r="O75" s="229" t="s">
        <v>2082</v>
      </c>
      <c r="P75" s="894" t="b">
        <v>0</v>
      </c>
      <c r="Q75" s="913"/>
      <c r="R75" s="914" t="b">
        <v>0</v>
      </c>
      <c r="S75" s="229" t="s">
        <v>2083</v>
      </c>
      <c r="T75" s="896" t="b">
        <v>0</v>
      </c>
    </row>
    <row r="76" ht="19.5" customHeight="1">
      <c r="B76" s="915"/>
      <c r="C76" s="662"/>
      <c r="D76" s="662"/>
      <c r="E76" s="916"/>
      <c r="F76" s="811" t="s">
        <v>2084</v>
      </c>
      <c r="G76" s="812" t="b">
        <v>0</v>
      </c>
      <c r="H76" s="473"/>
      <c r="I76" s="897" t="s">
        <v>1885</v>
      </c>
      <c r="J76" s="917">
        <f>50+(T7+T29+R52+C31+E58 +IF(R6="КУ%",S6,0)+IF(S49="КУ%",62.2,0)+IF(G68=TRUE,40,0)+IF(G75=TRUE, 40,0))</f>
        <v>243.1</v>
      </c>
      <c r="K76" s="899" t="s">
        <v>1963</v>
      </c>
      <c r="L76" s="900">
        <f t="array" ref="L76">R41+E31+C68+IF(S46="АФ.КРИО%",46.6,0)+IF(G71=TRUE, 40,0)+IF(G79=TRUE, 20,0)+CHOOSE(MATCH(LOWER(TRIM(T74)),{"НЕ АКТИВ";"НЕ НАТЛАН";"НАТЛАН"}, 0), 0,12,40)+IF(T78=TRUE, 35, 0)+IF(P77=TRUE, 20, 0)+IF(P81=TRUE, 25.6, 0)</f>
        <v>0</v>
      </c>
      <c r="M76" s="699" t="s">
        <v>1934</v>
      </c>
      <c r="N76" s="901">
        <f>P32+T19+IF(G59=TRUE, 35,0)+IF(G67=TRUE, 400,0)+IF(G78=TRUE, 100,0)+IF(P83=TRUE, 120,0)</f>
        <v>0</v>
      </c>
      <c r="O76" s="156" t="s">
        <v>2085</v>
      </c>
      <c r="P76" s="902" t="b">
        <v>0</v>
      </c>
      <c r="Q76" s="903" t="s">
        <v>2086</v>
      </c>
      <c r="R76" s="918">
        <v>50000.0</v>
      </c>
      <c r="S76" s="156" t="s">
        <v>1832</v>
      </c>
      <c r="T76" s="905" t="b">
        <v>0</v>
      </c>
    </row>
    <row r="77" ht="19.5" customHeight="1">
      <c r="B77" s="919" t="s">
        <v>2087</v>
      </c>
      <c r="C77" s="920">
        <v>90.0</v>
      </c>
      <c r="D77" s="921" t="s">
        <v>2088</v>
      </c>
      <c r="E77" s="922">
        <v>950.0</v>
      </c>
      <c r="F77" s="798" t="s">
        <v>2089</v>
      </c>
      <c r="G77" s="799" t="b">
        <v>0</v>
      </c>
      <c r="H77" s="473"/>
      <c r="I77" s="909" t="s">
        <v>2090</v>
      </c>
      <c r="J77" s="923">
        <f>5+(C32+T8+T30+R53+IF(C15=TRUE, 15,0)+E59+IF(R6="ШК%",S6,0)+IF(S49="ШК%",31.1,0))</f>
        <v>81.8</v>
      </c>
      <c r="K77" s="911" t="s">
        <v>1965</v>
      </c>
      <c r="L77" s="912">
        <f t="array" ref="L77">R45+E32+C69+IF(S46="АФ.ГЕО%",46.6,0)+IF(G75=TRUE, 15,0)+CHOOSE(MATCH(LOWER(TRIM(T74)),{"НЕ АКТИВ";"НЕ НАТЛАН";"НАТЛАН"}, 0), 0,12,40)+IF(P77=TRUE, 20, 0)+IF(P81=TRUE, 25.6, 0)</f>
        <v>70.6</v>
      </c>
      <c r="M77" s="692" t="s">
        <v>2091</v>
      </c>
      <c r="N77" s="893">
        <f t="array" ref="N77">P33+T21+MIN(CHOOSE(MATCH(LOWER(TRIM(C18)),{"ПИРО ПЕРС";"КРИО ПЕРС";"ЭЛЕКТ. ПЕРС";"ГИДРО ПЕРС";"ГЕО ПЕРС";"АНЕМО ПЕРС";"ДЕНД. ПЕРС"}, 0), (D18/100)*0.9,(D18/100)*0.9,(D18/100)*0.9,(D18/1000)*0.6,(D18/100)*1,(D18/100)*2.25,(D18/100)*2.25),36)+IF(G59=TRUE, 35,0)+IF(G78=TRUE, 35,0)+CHOOSE(MATCH(LOWER(TRIM(T80)),{"НЕ АКТИВ";"1 НОД";"2 НОДА"}, 0), 0,10,20)+CHOOSE(MATCH(LOWER(TRIM(T82)),{"НЕ АКТИВ";"1 НОД";"2 НОДА"}, 0), 0,10,20)+IF(P83=TRUE, 40,0)</f>
        <v>0</v>
      </c>
      <c r="O77" s="229" t="s">
        <v>2092</v>
      </c>
      <c r="P77" s="894" t="b">
        <v>0</v>
      </c>
      <c r="Q77" s="913"/>
      <c r="R77" s="895" t="b">
        <v>0</v>
      </c>
      <c r="S77" s="229" t="s">
        <v>2093</v>
      </c>
      <c r="T77" s="896" t="b">
        <v>0</v>
      </c>
    </row>
    <row r="78" ht="19.5" customHeight="1">
      <c r="B78" s="924" t="s">
        <v>2094</v>
      </c>
      <c r="C78" s="925">
        <f>0</f>
        <v>0</v>
      </c>
      <c r="D78" s="926" t="s">
        <v>2095</v>
      </c>
      <c r="E78" s="927">
        <f>0</f>
        <v>0</v>
      </c>
      <c r="F78" s="928" t="s">
        <v>2096</v>
      </c>
      <c r="G78" s="929" t="b">
        <v>0</v>
      </c>
      <c r="H78" s="473"/>
      <c r="I78" s="930" t="s">
        <v>2097</v>
      </c>
      <c r="J78" s="931">
        <f>ROUND((C26)*(100%+R8%+R30%+P54%+C29%+C59%+IF(C14=TRUE,25,0)%+IF(R6="ХП%",S6,0)%+IF(S43="ХП%",46.6,0)%+IF(S46="ХП%",46.6,0)%+IF(S49="ХП%",46.6,0)%)+(R33+P55+C62),0)</f>
        <v>20507</v>
      </c>
      <c r="K78" s="899" t="s">
        <v>1969</v>
      </c>
      <c r="L78" s="900">
        <f t="array" ref="L78">R46+E33+C70+IF(S46="АФ.АНЕМО%",46.6,0)+IF(G68=TRUE, 38.3,0)+CHOOSE(MATCH(LOWER(TRIM(T74)),{"НЕ АКТИВ";"НЕ НАТЛАН";"НАТЛАН"}, 0), 0,12,40)+IF(P77=TRUE, 20, 0)+IF(P81=TRUE, 25.6, 0)</f>
        <v>0</v>
      </c>
      <c r="M78" s="699" t="s">
        <v>1974</v>
      </c>
      <c r="N78" s="901">
        <f>P34+T18+IF(G78=TRUE, 100,0)+IF(P83=TRUE, 80,0)</f>
        <v>0</v>
      </c>
      <c r="O78" s="156" t="s">
        <v>2098</v>
      </c>
      <c r="P78" s="902" t="b">
        <v>0</v>
      </c>
      <c r="Q78" s="903" t="s">
        <v>2099</v>
      </c>
      <c r="R78" s="904">
        <v>1000.0</v>
      </c>
      <c r="S78" s="156" t="s">
        <v>2100</v>
      </c>
      <c r="T78" s="905" t="b">
        <v>0</v>
      </c>
    </row>
    <row r="79" ht="19.5" customHeight="1">
      <c r="B79" s="932" t="s">
        <v>2101</v>
      </c>
      <c r="C79" s="677"/>
      <c r="D79" s="933">
        <f>(D23+100)/((D23+100)+(C77+100)*(1-E78%)*(1-C78%))</f>
        <v>0.5</v>
      </c>
      <c r="E79" s="934"/>
      <c r="F79" s="798" t="s">
        <v>2102</v>
      </c>
      <c r="G79" s="799" t="b">
        <v>0</v>
      </c>
      <c r="H79" s="473"/>
      <c r="I79" s="909" t="s">
        <v>2103</v>
      </c>
      <c r="J79" s="910">
        <f>ROUND(((E26)*(100%+R9%+C30%+R31%+P53%+C60% +IF(R6="ЗЩ%", S6,0)% +IF(S43="ЗЩ%",58.3,0)% +IF(S46="ЗЩ%",58.3,0)% +IF(S49="ЗЩ%",58.3,0)%+IF(F45=TRUE, 20,0)%))+(C61+P56+IF(G75=TRUE, 438,0)),0)</f>
        <v>2569</v>
      </c>
      <c r="K79" s="911" t="s">
        <v>1973</v>
      </c>
      <c r="L79" s="912">
        <f t="array" ref="L79">(R47+E34+C71+IF(S46="АФ.ДЕНДРО%",46.6,0))+CHOOSE(MATCH(LOWER(TRIM(T74)),{"НЕ АКТИВ";"НЕ НАТЛАН";"НАТЛАН"}, 0), 0,12,40)+IF(P77=TRUE, 20, 0)+IF(P81=TRUE, 25.6, 0)</f>
        <v>0</v>
      </c>
      <c r="M79" s="692" t="s">
        <v>1976</v>
      </c>
      <c r="N79" s="893">
        <f>P35+T18+IF(G78=TRUE, 100,0)+IF(P83=TRUE, 80,0)</f>
        <v>0</v>
      </c>
      <c r="O79" s="229" t="s">
        <v>2104</v>
      </c>
      <c r="P79" s="894" t="b">
        <v>0</v>
      </c>
      <c r="Q79" s="913"/>
      <c r="R79" s="935" t="b">
        <v>0</v>
      </c>
      <c r="S79" s="229" t="s">
        <v>1850</v>
      </c>
      <c r="T79" s="896" t="b">
        <v>0</v>
      </c>
    </row>
    <row r="80" ht="19.5" customHeight="1">
      <c r="B80" s="936" t="s">
        <v>1904</v>
      </c>
      <c r="C80" s="937">
        <f t="shared" ref="C80:C83" si="11">IF(C85&lt;0, C85/2, IF(AND(C85&gt;=0, C85&lt;75),C85, IF(C85&gt;=75, 75, C85)))</f>
        <v>10</v>
      </c>
      <c r="D80" s="938" t="s">
        <v>1917</v>
      </c>
      <c r="E80" s="939">
        <f t="shared" ref="E80:E83" si="12">IF(E85&lt;0, E85/2, IF(AND(E85&gt;=0, E85&lt;75),E85, IF(E85&gt;=75, 75, E85)))</f>
        <v>10</v>
      </c>
      <c r="F80" s="473"/>
      <c r="G80" s="473"/>
      <c r="H80" s="473"/>
      <c r="I80" s="940" t="s">
        <v>2105</v>
      </c>
      <c r="J80" s="941">
        <f>100+(T9+C33+T31+R54+E60+IF(R6="ВЭ%", S6,0)+IF(S43="ВЭ%",51.8,0)+IF(R79=TRUE, R78*0.072*0.3, 0))</f>
        <v>125.3</v>
      </c>
      <c r="K80" s="942" t="s">
        <v>1896</v>
      </c>
      <c r="L80" s="943">
        <f>(R35+E35+C64+IF(R6="ФИЗ%",S6,0)+IF(S46="АФ.ФИЗ.%",58.3,0))</f>
        <v>0</v>
      </c>
      <c r="M80" s="699" t="s">
        <v>1943</v>
      </c>
      <c r="N80" s="901">
        <f>P36+IF(G59=TRUE, 35,0)</f>
        <v>0</v>
      </c>
      <c r="O80" s="156" t="s">
        <v>2106</v>
      </c>
      <c r="P80" s="902" t="b">
        <v>0</v>
      </c>
      <c r="Q80" s="903" t="s">
        <v>2107</v>
      </c>
      <c r="R80" s="904">
        <v>1000.0</v>
      </c>
      <c r="S80" s="156" t="s">
        <v>2108</v>
      </c>
      <c r="T80" s="905" t="s">
        <v>2078</v>
      </c>
    </row>
    <row r="81" ht="19.5" customHeight="1">
      <c r="B81" s="944" t="s">
        <v>1908</v>
      </c>
      <c r="C81" s="830">
        <f t="shared" si="11"/>
        <v>10</v>
      </c>
      <c r="D81" s="860" t="s">
        <v>2109</v>
      </c>
      <c r="E81" s="945">
        <f t="shared" si="12"/>
        <v>10</v>
      </c>
      <c r="F81" s="473"/>
      <c r="G81" s="473"/>
      <c r="H81" s="473"/>
      <c r="I81" s="909" t="s">
        <v>2110</v>
      </c>
      <c r="J81" s="946">
        <f>(C35+R19+C72+R48 +IF(S49="БОНУС ЛЕЧЕНИЕ",35.9,0))</f>
        <v>0</v>
      </c>
      <c r="K81" s="947" t="s">
        <v>2111</v>
      </c>
      <c r="L81" s="948">
        <f>R17+R32+E63+IF(G77=TRUE, 2050,0)</f>
        <v>1027.6</v>
      </c>
      <c r="M81" s="692" t="s">
        <v>2112</v>
      </c>
      <c r="N81" s="893">
        <f t="array" ref="N81">P37+T20+MIN(CHOOSE(MATCH(LOWER(TRIM(C18)),{"ПИРО ПЕРС";"КРИО ПЕРС";"ЭЛЕКТ. ПЕРС";"ГИДРО ПЕРС";"ГЕО ПЕРС";"АНЕМО ПЕРС";"ДЕНД. ПЕРС"}, 0), (D18/100)*0.9,(D18/100)*0.9,(D18/100)*0.9,(D18/1000)*0.6,(D18/100)*1,(D18/100)*2.25,(D18/100)*2.25),36)+IF(G59=TRUE, 35,0)+IF(P82=TRUE, 40, 0)+CHOOSE(MATCH(LOWER(TRIM(T80)),{"НЕ АКТИВ";"1 НОД";"2 НОДА"}, 0), 0,10,20)+CHOOSE(MATCH(LOWER(TRIM(T82)),{"НЕ АКТИВ";"1 НОД";"2 НОДА"}, 0), 0,10,20)</f>
        <v>0</v>
      </c>
      <c r="O81" s="229" t="s">
        <v>2113</v>
      </c>
      <c r="P81" s="894" t="b">
        <v>0</v>
      </c>
      <c r="Q81" s="913"/>
      <c r="R81" s="935" t="b">
        <v>0</v>
      </c>
      <c r="S81" s="229" t="s">
        <v>1828</v>
      </c>
      <c r="T81" s="896" t="b">
        <v>0</v>
      </c>
    </row>
    <row r="82" ht="19.5" customHeight="1">
      <c r="B82" s="936" t="s">
        <v>2114</v>
      </c>
      <c r="C82" s="937">
        <f t="shared" si="11"/>
        <v>10</v>
      </c>
      <c r="D82" s="938" t="s">
        <v>1914</v>
      </c>
      <c r="E82" s="939">
        <f t="shared" si="12"/>
        <v>-5</v>
      </c>
      <c r="F82" s="473"/>
      <c r="G82" s="473"/>
      <c r="H82" s="473"/>
      <c r="I82" s="897" t="s">
        <v>2115</v>
      </c>
      <c r="J82" s="949">
        <f>IF(G54=TRUE, 30,0)</f>
        <v>0</v>
      </c>
      <c r="K82" s="897" t="s">
        <v>2116</v>
      </c>
      <c r="L82" s="898">
        <f>E64+R18</f>
        <v>1027.6</v>
      </c>
      <c r="M82" s="699" t="s">
        <v>1980</v>
      </c>
      <c r="N82" s="901" t="str">
        <f>P38</f>
        <v/>
      </c>
      <c r="O82" s="950" t="s">
        <v>2117</v>
      </c>
      <c r="P82" s="951" t="b">
        <v>0</v>
      </c>
      <c r="Q82" s="950" t="s">
        <v>2118</v>
      </c>
      <c r="R82" s="952" t="s">
        <v>2078</v>
      </c>
      <c r="S82" s="156" t="s">
        <v>1827</v>
      </c>
      <c r="T82" s="953" t="s">
        <v>2078</v>
      </c>
    </row>
    <row r="83" ht="19.5" customHeight="1">
      <c r="B83" s="944" t="s">
        <v>1911</v>
      </c>
      <c r="C83" s="830">
        <f t="shared" si="11"/>
        <v>10</v>
      </c>
      <c r="D83" s="860" t="s">
        <v>2119</v>
      </c>
      <c r="E83" s="945">
        <f t="shared" si="12"/>
        <v>10</v>
      </c>
      <c r="F83" s="473"/>
      <c r="G83" s="473"/>
      <c r="H83" s="473"/>
      <c r="I83" s="954" t="s">
        <v>1935</v>
      </c>
      <c r="J83" s="955">
        <f>(R20+R49+C73+IF(C16=TRUE, 15,0))+IF(T76=TRUE, 30, 0)</f>
        <v>15</v>
      </c>
      <c r="K83" s="909" t="s">
        <v>2120</v>
      </c>
      <c r="L83" s="910">
        <f>E65+IF(G64=TRUE, 6600,0)</f>
        <v>0</v>
      </c>
      <c r="M83" s="956" t="s">
        <v>1983</v>
      </c>
      <c r="N83" s="893">
        <f>P39+IF(G78=TRUE, 100,0)</f>
        <v>0</v>
      </c>
      <c r="O83" s="957" t="s">
        <v>2121</v>
      </c>
      <c r="P83" s="958" t="b">
        <v>0</v>
      </c>
      <c r="Q83" s="957" t="s">
        <v>2122</v>
      </c>
      <c r="R83" s="958" t="b">
        <v>0</v>
      </c>
      <c r="S83" s="957" t="s">
        <v>59</v>
      </c>
      <c r="T83" s="959" t="s">
        <v>59</v>
      </c>
    </row>
    <row r="84" ht="19.5" customHeight="1">
      <c r="B84" s="960" t="s">
        <v>2123</v>
      </c>
      <c r="C84" s="677"/>
      <c r="D84" s="677"/>
      <c r="E84" s="934"/>
      <c r="F84" s="473"/>
      <c r="G84" s="473"/>
      <c r="H84" s="473"/>
      <c r="I84" s="897" t="s">
        <v>1899</v>
      </c>
      <c r="J84" s="949">
        <f t="shared" ref="J84:J85" si="13">(R11+R36+E69)</f>
        <v>0</v>
      </c>
      <c r="K84" s="897" t="s">
        <v>2047</v>
      </c>
      <c r="L84" s="898">
        <f t="array" ref="L84">E66+IF(G63=TRUE, 2800,0)+IF(R2="ЛИСТВЕННЫЙ РАЗРЕЗ",J75*XLOOKUP(T4,{"РП1"; "РП2"; "РП3"; "РП4";"РП5"},{120; 150; 180; 210; 240})%,0)+IF(R2="КИНОВАР",J79*XLOOKUP(T4,{"РП1"; "РП2"; "РП3"; "РП4";"РП5"},{40; 50; 60; 70; 80})%,0)</f>
        <v>0</v>
      </c>
      <c r="M84" s="961" t="s">
        <v>1984</v>
      </c>
      <c r="N84" s="901" t="str">
        <f t="shared" ref="N84:N86" si="14">P40</f>
        <v/>
      </c>
      <c r="O84" s="473"/>
      <c r="P84" s="473"/>
      <c r="Q84" s="962"/>
      <c r="R84" s="962"/>
      <c r="S84" s="473"/>
      <c r="T84" s="473"/>
    </row>
    <row r="85" ht="19.5" customHeight="1">
      <c r="B85" s="944" t="s">
        <v>1904</v>
      </c>
      <c r="C85" s="963">
        <f>10+IF(R27="ТЕНЬ", -40,0)+IF(G57=TRUE, -36,0)+IF(G58=TRUE, -20,0)+IF(G65=TRUE, -40,0)+IF(G73=TRUE, -20,0)+IF(G74=TRUE, -35,0)+IF(G76=TRUE, -15,0)+IF(T73=TRUE, -40, 0)</f>
        <v>10</v>
      </c>
      <c r="D85" s="860" t="s">
        <v>1917</v>
      </c>
      <c r="E85" s="945">
        <f>10+IF(R27="ДРЕМУЧИЙ ЛЕС", IF(T35=TRUE, -30,0),0)+IF(G55=TRUE, -25,0)+IF(G73=TRUE, -20,0)+IF(G74=TRUE, -35,0)</f>
        <v>10</v>
      </c>
      <c r="F85" s="473"/>
      <c r="G85" s="473"/>
      <c r="H85" s="473"/>
      <c r="I85" s="909" t="s">
        <v>1903</v>
      </c>
      <c r="J85" s="946">
        <f t="shared" si="13"/>
        <v>0</v>
      </c>
      <c r="K85" s="909" t="s">
        <v>2050</v>
      </c>
      <c r="L85" s="910" t="str">
        <f>E67</f>
        <v/>
      </c>
      <c r="M85" s="956" t="s">
        <v>1987</v>
      </c>
      <c r="N85" s="893" t="str">
        <f t="shared" si="14"/>
        <v/>
      </c>
      <c r="O85" s="473"/>
      <c r="P85" s="473"/>
      <c r="Q85" s="962"/>
      <c r="R85" s="962"/>
      <c r="S85" s="473"/>
      <c r="T85" s="473"/>
    </row>
    <row r="86" ht="19.5" customHeight="1">
      <c r="B86" s="936" t="s">
        <v>1908</v>
      </c>
      <c r="C86" s="964">
        <f>10+IF(R27="ТЕНЬ", -40,0)+IF(G57=TRUE, -36,0)+IF(G58=TRUE, -20,0)+IF(G60=TRUE, -55,0)+IF(G73=TRUE, -20,0)+IF(T73=TRUE, -40, 0)</f>
        <v>10</v>
      </c>
      <c r="D86" s="938" t="s">
        <v>2109</v>
      </c>
      <c r="E86" s="939">
        <f>10+IF(G73=TRUE, -20,0)+IF(G74=TRUE, -35,0)+IF(G68=TRUE, -30,0)</f>
        <v>10</v>
      </c>
      <c r="F86" s="473"/>
      <c r="G86" s="473"/>
      <c r="H86" s="473"/>
      <c r="I86" s="897" t="s">
        <v>1907</v>
      </c>
      <c r="J86" s="949">
        <f>R13+R38+E71+IF(G77=TRUE, 15,0)+IF(P76=TRUE, 16, 0)</f>
        <v>0</v>
      </c>
      <c r="K86" s="897" t="s">
        <v>2124</v>
      </c>
      <c r="L86" s="965">
        <f>E68+IF(G70=TRUE, 2630,0)+IF(G68=TRUE, 258,0)+IF(T79=TRUE, 1200, 0)</f>
        <v>0</v>
      </c>
      <c r="M86" s="961" t="s">
        <v>2125</v>
      </c>
      <c r="N86" s="901" t="str">
        <f t="shared" si="14"/>
        <v/>
      </c>
      <c r="O86" s="473"/>
      <c r="P86" s="473"/>
      <c r="Q86" s="962"/>
      <c r="R86" s="962"/>
      <c r="S86" s="473"/>
      <c r="T86" s="473"/>
    </row>
    <row r="87" ht="19.5" customHeight="1">
      <c r="B87" s="944" t="s">
        <v>2114</v>
      </c>
      <c r="C87" s="963">
        <f>10+IF(R27="ТЕНЬ", -40,0)+IF(G57=TRUE, -36,0)+IF(G65=TRUE, -40,0)+IF(G73=TRUE, -20,0)+IF(G74=TRUE, -35,0)+IF(T73=TRUE, -40, 0)</f>
        <v>10</v>
      </c>
      <c r="D87" s="860" t="s">
        <v>1914</v>
      </c>
      <c r="E87" s="945">
        <f>10+IF(C16=TRUE, -20, 0)+IF(G57=TRUE, -36,0)+IF(G73=TRUE, -20,0)+IF(G74=TRUE, -35,0)</f>
        <v>-10</v>
      </c>
      <c r="F87" s="473"/>
      <c r="G87" s="473"/>
      <c r="H87" s="473"/>
      <c r="I87" s="909" t="s">
        <v>1910</v>
      </c>
      <c r="J87" s="946">
        <f>(R14+R39+E72)+IF(P76=TRUE, 16, 0)</f>
        <v>0</v>
      </c>
      <c r="K87" s="966" t="s">
        <v>2126</v>
      </c>
      <c r="L87" s="967">
        <f>(R16+R34+C63+IF(D16=TRUE, 15,0)+IF(G54=TRUE, 65,0)+IF(G61=TRUE, 25,0)+IF(G62=TRUE, 24,0)+IF(G69=TRUE, 22.5,0)+IF(G72=TRUE, 12,0)+IF(P79=TRUE, 28, 0))</f>
        <v>15</v>
      </c>
      <c r="M87" s="968" t="s">
        <v>2127</v>
      </c>
      <c r="N87" s="969"/>
      <c r="O87" s="473"/>
      <c r="P87" s="473"/>
      <c r="Q87" s="962"/>
      <c r="R87" s="962"/>
      <c r="S87" s="473"/>
      <c r="T87" s="473"/>
    </row>
    <row r="88" ht="19.5" customHeight="1">
      <c r="B88" s="936" t="s">
        <v>1911</v>
      </c>
      <c r="C88" s="964">
        <f>10+IF(R27="ТЕНЬ", -40,0)+IF(G57=TRUE, -36,0)+IF(G60=TRUE, -55,0)+IF(G73=TRUE, -20,0)+IF(T73=TRUE, -40, 0)</f>
        <v>10</v>
      </c>
      <c r="D88" s="938" t="s">
        <v>2119</v>
      </c>
      <c r="E88" s="939">
        <f>10+IF(G73=TRUE, -20,0)+IF(E89=TRUE, -40,0)</f>
        <v>10</v>
      </c>
      <c r="F88" s="473"/>
      <c r="G88" s="473"/>
      <c r="H88" s="473"/>
      <c r="I88" s="970" t="s">
        <v>1913</v>
      </c>
      <c r="J88" s="971">
        <f>(R15+R40+E73)+IF(P76=TRUE, 16, 0)+IF(R73=TRUE, 28, 0)</f>
        <v>0</v>
      </c>
      <c r="K88" s="972" t="s">
        <v>1939</v>
      </c>
      <c r="L88" s="973" t="str">
        <f t="shared" ref="L88:L92" si="15">R21</f>
        <v/>
      </c>
      <c r="M88" s="473"/>
      <c r="N88" s="473"/>
      <c r="O88" s="473"/>
      <c r="P88" s="473"/>
      <c r="Q88" s="962"/>
      <c r="R88" s="962"/>
      <c r="S88" s="473"/>
      <c r="T88" s="473"/>
    </row>
    <row r="89" ht="19.5" customHeight="1">
      <c r="B89" s="974" t="s">
        <v>2128</v>
      </c>
      <c r="C89" s="975"/>
      <c r="D89" s="975"/>
      <c r="E89" s="976" t="b">
        <v>0</v>
      </c>
      <c r="F89" s="473"/>
      <c r="G89" s="473"/>
      <c r="H89" s="473"/>
      <c r="I89" s="977" t="s">
        <v>1938</v>
      </c>
      <c r="J89" s="978" t="str">
        <f>P21</f>
        <v/>
      </c>
      <c r="K89" s="979" t="s">
        <v>1942</v>
      </c>
      <c r="L89" s="980" t="str">
        <f t="shared" si="15"/>
        <v/>
      </c>
      <c r="M89" s="473"/>
      <c r="N89" s="473"/>
      <c r="O89" s="473"/>
      <c r="P89" s="473"/>
      <c r="Q89" s="473"/>
      <c r="R89" s="473"/>
      <c r="S89" s="473"/>
      <c r="T89" s="473"/>
    </row>
    <row r="90" ht="19.5" customHeight="1">
      <c r="B90" s="473"/>
      <c r="C90" s="473"/>
      <c r="D90" s="473"/>
      <c r="E90" s="473"/>
      <c r="F90" s="473"/>
      <c r="G90" s="473"/>
      <c r="H90" s="473"/>
      <c r="I90" s="981" t="s">
        <v>1941</v>
      </c>
      <c r="J90" s="982">
        <f>P22+IF(F49=TRUE,70,0)</f>
        <v>0</v>
      </c>
      <c r="K90" s="983" t="s">
        <v>1946</v>
      </c>
      <c r="L90" s="984" t="str">
        <f t="shared" si="15"/>
        <v/>
      </c>
      <c r="M90" s="473"/>
      <c r="N90" s="473"/>
      <c r="O90" s="473"/>
      <c r="P90" s="473"/>
      <c r="Q90" s="473"/>
      <c r="R90" s="473"/>
      <c r="S90" s="473"/>
      <c r="T90" s="473"/>
    </row>
    <row r="91" ht="19.5" customHeight="1">
      <c r="B91" s="473"/>
      <c r="C91" s="473"/>
      <c r="D91" s="473"/>
      <c r="E91" s="473"/>
      <c r="F91" s="473"/>
      <c r="G91" s="473"/>
      <c r="H91" s="473"/>
      <c r="I91" s="985" t="s">
        <v>1945</v>
      </c>
      <c r="J91" s="538" t="str">
        <f t="shared" ref="J91:J93" si="16">P23</f>
        <v/>
      </c>
      <c r="K91" s="979" t="s">
        <v>1948</v>
      </c>
      <c r="L91" s="980" t="str">
        <f t="shared" si="15"/>
        <v/>
      </c>
      <c r="M91" s="473"/>
      <c r="N91" s="473"/>
      <c r="O91" s="473"/>
      <c r="P91" s="473"/>
      <c r="Q91" s="473"/>
      <c r="R91" s="473"/>
      <c r="S91" s="473"/>
      <c r="T91" s="473"/>
    </row>
    <row r="92" ht="19.5" customHeight="1">
      <c r="B92" s="473"/>
      <c r="C92" s="473"/>
      <c r="D92" s="473"/>
      <c r="E92" s="473"/>
      <c r="F92" s="473"/>
      <c r="G92" s="473"/>
      <c r="H92" s="473"/>
      <c r="I92" s="981" t="s">
        <v>1947</v>
      </c>
      <c r="J92" s="982" t="str">
        <f t="shared" si="16"/>
        <v/>
      </c>
      <c r="K92" s="986" t="s">
        <v>1951</v>
      </c>
      <c r="L92" s="987" t="str">
        <f t="shared" si="15"/>
        <v/>
      </c>
      <c r="M92" s="473"/>
      <c r="N92" s="473"/>
      <c r="O92" s="473"/>
      <c r="P92" s="473"/>
      <c r="Q92" s="473"/>
      <c r="R92" s="473"/>
      <c r="S92" s="473"/>
      <c r="T92" s="473"/>
    </row>
    <row r="93" ht="19.5" customHeight="1">
      <c r="B93" s="473"/>
      <c r="C93" s="473"/>
      <c r="D93" s="473"/>
      <c r="E93" s="473"/>
      <c r="F93" s="473"/>
      <c r="G93" s="473"/>
      <c r="H93" s="473"/>
      <c r="I93" s="988" t="s">
        <v>1950</v>
      </c>
      <c r="J93" s="989" t="str">
        <f t="shared" si="16"/>
        <v/>
      </c>
      <c r="K93" s="473"/>
      <c r="L93" s="473"/>
      <c r="M93" s="473"/>
      <c r="N93" s="473"/>
      <c r="O93" s="473"/>
      <c r="P93" s="473"/>
      <c r="Q93" s="473"/>
      <c r="R93" s="473"/>
      <c r="S93" s="473"/>
      <c r="T93" s="473"/>
    </row>
    <row r="94" ht="19.5" customHeight="1">
      <c r="B94" s="473"/>
    </row>
    <row r="95" ht="19.5" customHeight="1">
      <c r="B95" s="990" t="s">
        <v>2129</v>
      </c>
      <c r="C95" s="991"/>
      <c r="D95" s="991"/>
      <c r="E95" s="991"/>
      <c r="F95" s="991"/>
      <c r="G95" s="991"/>
      <c r="H95" s="992"/>
      <c r="I95" s="582" t="s">
        <v>2130</v>
      </c>
      <c r="J95" s="583"/>
      <c r="K95" s="583"/>
      <c r="L95" s="583"/>
      <c r="M95" s="583"/>
      <c r="N95" s="584"/>
      <c r="O95" s="473"/>
      <c r="P95" s="993" t="s">
        <v>2131</v>
      </c>
      <c r="Q95" s="994"/>
      <c r="R95" s="994"/>
      <c r="S95" s="994"/>
      <c r="T95" s="995"/>
    </row>
    <row r="96" ht="19.5" customHeight="1">
      <c r="B96" s="996"/>
      <c r="C96" s="774"/>
      <c r="D96" s="774"/>
      <c r="E96" s="774"/>
      <c r="F96" s="774"/>
      <c r="G96" s="774"/>
      <c r="H96" s="997"/>
      <c r="I96" s="593"/>
      <c r="J96" s="594"/>
      <c r="K96" s="594"/>
      <c r="L96" s="594"/>
      <c r="M96" s="594"/>
      <c r="N96" s="595"/>
      <c r="P96" s="998"/>
      <c r="Q96" s="999"/>
      <c r="R96" s="999"/>
      <c r="S96" s="999"/>
      <c r="T96" s="1000"/>
    </row>
    <row r="97" ht="19.5" customHeight="1">
      <c r="B97" s="1001" t="s">
        <v>78</v>
      </c>
      <c r="C97" s="1002"/>
      <c r="D97" s="1003" t="s">
        <v>2132</v>
      </c>
      <c r="E97" s="779" t="s">
        <v>2133</v>
      </c>
      <c r="F97" s="779" t="s">
        <v>1926</v>
      </c>
      <c r="G97" s="778" t="s">
        <v>2134</v>
      </c>
      <c r="H97" s="1004" t="s">
        <v>69</v>
      </c>
      <c r="I97" s="1005" t="s">
        <v>2135</v>
      </c>
      <c r="J97" s="1006" t="s">
        <v>2132</v>
      </c>
      <c r="K97" s="1007" t="s">
        <v>2133</v>
      </c>
      <c r="L97" s="1007" t="s">
        <v>1926</v>
      </c>
      <c r="M97" s="1008" t="s">
        <v>2136</v>
      </c>
      <c r="N97" s="1009" t="s">
        <v>69</v>
      </c>
      <c r="P97" s="1010" t="s">
        <v>1925</v>
      </c>
      <c r="Q97" s="1007" t="s">
        <v>2137</v>
      </c>
      <c r="R97" s="1011" t="s">
        <v>2138</v>
      </c>
      <c r="S97" s="1012" t="s">
        <v>2139</v>
      </c>
      <c r="T97" s="1013" t="s">
        <v>2087</v>
      </c>
    </row>
    <row r="98" ht="19.5" customHeight="1">
      <c r="B98" s="1014" t="s">
        <v>2140</v>
      </c>
      <c r="C98" s="544"/>
      <c r="D98" s="1015">
        <f>ROUND(J98*2*(1+(2.78*J75)/(1400+J75)+P29%),0)</f>
        <v>16021</v>
      </c>
      <c r="E98" s="817">
        <f>ROUND(K98*2*(1+(2.78*J75)/(1400+J75)+P29%),0)</f>
        <v>54970</v>
      </c>
      <c r="F98" s="1016">
        <f>ROUND(L98*2*(1+(2.78*J75)/(1400+J75)+P29%),0)</f>
        <v>47882</v>
      </c>
      <c r="G98" s="1017">
        <f>ROUND(2*(1+(2.78*J75)/(1400+J75)+N73%),2)</f>
        <v>2.26</v>
      </c>
      <c r="H98" s="1018" t="s">
        <v>2141</v>
      </c>
      <c r="I98" s="627" t="str">
        <f t="shared" ref="I98:I124" si="17">S98</f>
        <v>ОБ. УДАРЫ</v>
      </c>
      <c r="J98" s="1019">
        <f t="array" ref="J98">ROUND((CHOOSE(MATCH(LOWER(TRIM(M98)),{"СА";"СА+ХП";"СА+МС";"СА+ЗЩ";"ХП";"ЗЩ"}, 0), J74,J74,J74,J74,J78,J79)*Q98%+CHOOSE(MATCH(LOWER(TRIM(M98)),{"СА";"СА+ХП";"СА+МС";"СА+ЗЩ";"ХП";"ЗЩ"}, 0), 0,J78,J75,J79,0,0)*R98%+IF(L19=TRUE,L86+ 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УДАР"},0),J84%,J85%,J86%,J87%,J88%,0))*(1-CHOOSE(MATCH(LOWER(TRIM(N98)),{"КРИО";"ПИРО";"ЭЛЕКТРО";"ГИДРО";"АНЕМО";"ГЕО";"ДЕНДРО";"ФИЗУХА"}, 0), C83,C80,C82,C81,E81,E82,E80,E83)%)*(D79),0)</f>
        <v>7074</v>
      </c>
      <c r="K98" s="1020">
        <f t="array" ref="K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УДАР"},0),J84%,J85%,J86%,J87%,J88%,0))*(1+J76%)*(1-CHOOSE(MATCH(LOWER(TRIM(N98)),{"КРИО";"ПИРО";"ЭЛЕКТРО";"ГИДРО";"АНЕМО";"ГЕО";"ДЕНДРО";"ФИЗУХА"}, 0), C83,C80,C82,C81,E81,E82,E80,E83)%)*(D79),0)</f>
        <v>24272</v>
      </c>
      <c r="L98" s="1020">
        <f t="array" ref="L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УДАР"},0),L84,L85,L81,L82,L83,0),0)+CHOOSE(MATCH(LOWER(TRIM(J19)),{"ПАР";"ОБ.ПАР";"ТАЯНИЕ";"ОБ.ТАЯНИЕ";"ОБОСТР.";"РАЗРАСТ.";"НЕТ"}, 0), 0,0,0,0,D102,D103,0))*(1+L87%+CHOOSE(MATCH(LOWER(TRIM(N98)),{"КРИО";"ПИРО";"ЭЛЕКТРО";"ГИДРО";"АНЕМО";"ГЕО";"ДЕНДРО";"ФИЗУХА"}, 0), L76,L73,L75,L74,L78,L77,L79,L80)%+CHOOSE(MATCH(LOWER(TRIM(S98)),{"ЕШКА";"УЛЬТА";"ОБ. УДАРЫ";"ЗАР. УДАРЫ";"ПРЫЖКИ";"УНИК. УДАР"},0),J84%,J85%,J86%,J87%,J88%,0))*(1+(J76%+CHOOSE(MATCH(LOWER(TRIM(S98)),{"ЕШКА";"УЛЬТА";"ОБ. УДАРЫ";"ЗАР. УДАРЫ";"ПРЫЖКИ";"УНИК. УДАР"},0),J91,J92,J89,J90,J93,0)%)*MIN((J77%+CHOOSE(MATCH(LOWER(TRIM(S98)),{"ЕШКА";"УЛЬТА";"ОБ. УДАРЫ";"ЗАР. УДАРЫ";"ПРЫЖКИ";"УНИК. УДАР"},0),L90,L91,L88,L89,L92,0)%),100%))*(1-CHOOSE(MATCH(LOWER(TRIM(N98)),{"КРИО";"ПИРО";"ЭЛЕКТРО";"ГИДРО";"АНЕМО";"ГЕО";"ДЕНДРО";"ФИЗУХА"}, 0), C83,C80,C82,C81,E81,E82,E80,E83)%)*(D79),0)</f>
        <v>21142</v>
      </c>
      <c r="M98" s="638" t="s">
        <v>125</v>
      </c>
      <c r="N98" s="1021" t="s">
        <v>1877</v>
      </c>
      <c r="P98" s="627" t="str">
        <f t="shared" ref="P98:P124" si="18">S98</f>
        <v>ОБ. УДАРЫ</v>
      </c>
      <c r="Q98" s="1022">
        <v>156.6</v>
      </c>
      <c r="R98" s="1023"/>
      <c r="S98" s="1024" t="s">
        <v>2142</v>
      </c>
      <c r="T98" s="1025" t="s">
        <v>2143</v>
      </c>
    </row>
    <row r="99" ht="19.5" customHeight="1">
      <c r="B99" s="1026" t="s">
        <v>2144</v>
      </c>
      <c r="C99" s="544"/>
      <c r="D99" s="1027">
        <f>ROUND(J98*1.5*(1+(2.78*J75)/(1400+J75)+P29%),0)</f>
        <v>12016</v>
      </c>
      <c r="E99" s="630">
        <f>ROUND(K98*1.5*(1+(2.78*J75)/(1400+J75)+P29%),0)</f>
        <v>41228</v>
      </c>
      <c r="F99" s="573">
        <f>ROUND(L98*1.5*(1+(2.78*J75)/(1400+J75)+P29%),0)</f>
        <v>35911</v>
      </c>
      <c r="G99" s="1028">
        <f>ROUND(1.5*(1+(2.78*J75)/(1400+J75)+N73%),2)</f>
        <v>1.7</v>
      </c>
      <c r="H99" s="1029" t="s">
        <v>2145</v>
      </c>
      <c r="I99" s="627" t="str">
        <f t="shared" si="17"/>
        <v>ОБ. УДАРЫ</v>
      </c>
      <c r="J99" s="1030">
        <f t="array" ref="J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УДАР"},0),J84%,J85%,J86%,J87%,J88%,0))*(1-CHOOSE(MATCH(LOWER(TRIM(N99)),{"КРИО";"ПИРО";"ЭЛЕКТРО";"ГИДРО";"АНЕМО";"ГЕО";"ДЕНДРО";"ФИЗУХА"}, 0), C83,C80,C82,C81,E81,E82,E80,E83)%)*(D79),0)</f>
        <v>6857</v>
      </c>
      <c r="K99" s="1031">
        <f t="array" ref="K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УДАР"},0),J84%,J85%,J86%,J87%,J88%,0))*(1+J76%)*(1-CHOOSE(MATCH(LOWER(TRIM(N99)),{"КРИО";"ПИРО";"ЭЛЕКТРО";"ГИДРО";"АНЕМО";"ГЕО";"ДЕНДРО";"ФИЗУХА"}, 0), C83,C80,C82,C81,E81,E82,E80,E83)%)*(D79),0)</f>
        <v>23527</v>
      </c>
      <c r="L99" s="1031">
        <f t="array" ref="L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УДАР"},0),L84,L85,L81,L82,L83,0),0)+CHOOSE(MATCH(LOWER(TRIM(J20)),{"ПАР";"ОБ.ПАР";"ТАЯНИЕ";"ОБ.ТАЯНИЕ";"ОБОСТР.";"РАЗРАСТ.";"НЕТ"}, 0), 0,0,0,0,D102,D103,0))*(1+L87%+CHOOSE(MATCH(LOWER(TRIM(N99)),{"КРИО";"ПИРО";"ЭЛЕКТРО";"ГИДРО";"АНЕМО";"ГЕО";"ДЕНДРО";"ФИЗУХА"}, 0), L76,L73,L75,L74,L78,L77,L79,L80)%+CHOOSE(MATCH(LOWER(TRIM(S99)),{"ЕШКА";"УЛЬТА";"ОБ. УДАРЫ";"ЗАР. УДАРЫ";"ПРЫЖКИ";"УНИК. УДАР"},0),J84%,J85%,J86%,J87%,J88%,0))*(1+(J76%+CHOOSE(MATCH(LOWER(TRIM(S99)),{"ЕШКА";"УЛЬТА";"ОБ. УДАРЫ";"ЗАР. УДАРЫ";"ПРЫЖКИ";"УНИК. УДАР"},0),J91,J92,J89,J90,J93,0)%)*MIN((J77%+CHOOSE(MATCH(LOWER(TRIM(S99)),{"ЕШКА";"УЛЬТА";"ОБ. УДАРЫ";"ЗАР. УДАРЫ";"ПРЫЖКИ";"УНИК. УДАР"},0),L90,L91,L88,L89,L92,0)%),100%))*(1-CHOOSE(MATCH(LOWER(TRIM(N99)),{"КРИО";"ПИРО";"ЭЛЕКТРО";"ГИДРО";"АНЕМО";"ГЕО";"ДЕНДРО";"ФИЗУХА"}, 0), C83,C80,C82,C81,E81,E82,E80,E83)%)*(D79),0)</f>
        <v>20493</v>
      </c>
      <c r="M99" s="629" t="s">
        <v>125</v>
      </c>
      <c r="N99" s="1021" t="s">
        <v>1877</v>
      </c>
      <c r="P99" s="627" t="str">
        <f t="shared" si="18"/>
        <v>ОБ. УДАРЫ</v>
      </c>
      <c r="Q99" s="1032">
        <v>151.0</v>
      </c>
      <c r="R99" s="1033"/>
      <c r="S99" s="1024" t="s">
        <v>2142</v>
      </c>
      <c r="T99" s="1025" t="s">
        <v>2143</v>
      </c>
    </row>
    <row r="100" ht="19.5" customHeight="1">
      <c r="B100" s="1014" t="s">
        <v>2146</v>
      </c>
      <c r="C100" s="544"/>
      <c r="D100" s="1015">
        <f>ROUND(J98*2*(1+(2.78*J75)/(1400+J75)+P30%),0)</f>
        <v>16021</v>
      </c>
      <c r="E100" s="817">
        <f>ROUND(K98*2*(1+(2.78*J75)/(1400+J75)+P30%),0)</f>
        <v>54970</v>
      </c>
      <c r="F100" s="1016">
        <f>ROUND(L98*2*(1+(2.78*J75)/(1400+J75)+P30%),0)</f>
        <v>47882</v>
      </c>
      <c r="G100" s="1017">
        <f>ROUND(2*(1+(2.78*J75)/(1400+J75)+N74%),2)</f>
        <v>2.26</v>
      </c>
      <c r="H100" s="1018" t="s">
        <v>2147</v>
      </c>
      <c r="I100" s="627" t="str">
        <f t="shared" si="17"/>
        <v>ОБ. УДАРЫ</v>
      </c>
      <c r="J100" s="1034">
        <f t="array" ref="J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УДАР"},0),J84%,J85%,J86%,J87%,J88%,0))*(1-CHOOSE(MATCH(LOWER(TRIM(N100)),{"КРИО";"ПИРО";"ЭЛЕКТРО";"ГИДРО";"АНЕМО";"ГЕО";"ДЕНДРО";"ФИЗУХА"}, 0), C83,C80,C82,C81,E81,E82,E80,E83)%)*(D79),0)</f>
        <v>8028</v>
      </c>
      <c r="K100" s="1020">
        <f t="array" ref="K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УДАР"},0),J84%,J85%,J86%,J87%,J88%,0))*(1+J76%)*(1-CHOOSE(MATCH(LOWER(TRIM(N100)),{"КРИО";"ПИРО";"ЭЛЕКТРО";"ГИДРО";"АНЕМО";"ГЕО";"ДЕНДРО";"ФИЗУХА"}, 0), C83,C80,C82,C81,E81,E82,E80,E83)%)*(D79),0)</f>
        <v>27546</v>
      </c>
      <c r="L100" s="1020">
        <f t="array" ref="L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УДАР"},0),L84,L85,L81,L82,L83,0),0)+CHOOSE(MATCH(LOWER(TRIM(J21)),{"ПАР";"ОБ.ПАР";"ТАЯНИЕ";"ОБ.ТАЯНИЕ";"ОБОСТР.";"РАЗРАСТ.";"НЕТ"}, 0), 0,0,0,0,D102,D103,0))*(1+L87%+CHOOSE(MATCH(LOWER(TRIM(N100)),{"КРИО";"ПИРО";"ЭЛЕКТРО";"ГИДРО";"АНЕМО";"ГЕО";"ДЕНДРО";"ФИЗУХА"}, 0), L76,L73,L75,L74,L78,L77,L79,L80)%+CHOOSE(MATCH(LOWER(TRIM(S100)),{"ЕШКА";"УЛЬТА";"ОБ. УДАРЫ";"ЗАР. УДАРЫ";"ПРЫЖКИ";"УНИК. УДАР"},0),J84%,J85%,J86%,J87%,J88%,0))*(1+(J76%+CHOOSE(MATCH(LOWER(TRIM(S100)),{"ЕШКА";"УЛЬТА";"ОБ. УДАРЫ";"ЗАР. УДАРЫ";"ПРЫЖКИ";"УНИК. УДАР"},0),J91,J92,J89,J90,J93,0)%)*MIN((J77%+CHOOSE(MATCH(LOWER(TRIM(S100)),{"ЕШКА";"УЛЬТА";"ОБ. УДАРЫ";"ЗАР. УДАРЫ";"ПРЫЖКИ";"УНИК. УДАР"},0),L90,L91,L88,L89,L92,0)%),100%))*(1-CHOOSE(MATCH(LOWER(TRIM(N100)),{"КРИО";"ПИРО";"ЭЛЕКТРО";"ГИДРО";"АНЕМО";"ГЕО";"ДЕНДРО";"ФИЗУХА"}, 0), C83,C80,C82,C81,E81,E82,E80,E83)%)*(D79),0)</f>
        <v>23993</v>
      </c>
      <c r="M100" s="629" t="s">
        <v>125</v>
      </c>
      <c r="N100" s="1021" t="s">
        <v>1877</v>
      </c>
      <c r="P100" s="627" t="str">
        <f t="shared" si="18"/>
        <v>ОБ. УДАРЫ</v>
      </c>
      <c r="Q100" s="1022">
        <v>181.2</v>
      </c>
      <c r="R100" s="1023"/>
      <c r="S100" s="1024" t="s">
        <v>2142</v>
      </c>
      <c r="T100" s="1025" t="s">
        <v>2143</v>
      </c>
    </row>
    <row r="101" ht="19.5" customHeight="1">
      <c r="B101" s="1026" t="s">
        <v>2148</v>
      </c>
      <c r="C101" s="544"/>
      <c r="D101" s="1027">
        <f>ROUND(J98*1.5*(1+(2.78*J75)/(1400+J75)+P30%),0)</f>
        <v>12016</v>
      </c>
      <c r="E101" s="630">
        <f>ROUND(K98*1.5*(1+(2.78*J75)/(1400+J75)+P30%),0)</f>
        <v>41228</v>
      </c>
      <c r="F101" s="573">
        <f>ROUND(L98*1.5*(1+(2.78*J75)/(1400+J75)+P30%),0)</f>
        <v>35911</v>
      </c>
      <c r="G101" s="1028">
        <f>ROUND(1.5*(1+(2.78*J75)/(1400+J75)+N74%),2)</f>
        <v>1.7</v>
      </c>
      <c r="H101" s="1029" t="s">
        <v>2149</v>
      </c>
      <c r="I101" s="627" t="str">
        <f t="shared" si="17"/>
        <v>ОБ. УДАРЫ</v>
      </c>
      <c r="J101" s="1030">
        <f t="array" ref="J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УДАР"},0),J84%,J85%,J86%,J87%,J88%,0))*(1-CHOOSE(MATCH(LOWER(TRIM(N101)),{"КРИО";"ПИРО";"ЭЛЕКТРО";"ГИДРО";"АНЕМО";"ГЕО";"ДЕНДРО";"ФИЗУХА"}, 0), C83,C80,C82,C81,E81,E82,E80,E83)%)*(D79),0)</f>
        <v>8986</v>
      </c>
      <c r="K101" s="1031">
        <f t="array" ref="K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УДАР"},0),J84%,J85%,J86%,J87%,J88%,0))*(1+J76%)*(1-CHOOSE(MATCH(LOWER(TRIM(N101)),{"КРИО";"ПИРО";"ЭЛЕКТРО";"ГИДРО";"АНЕМО";"ГЕО";"ДЕНДРО";"ФИЗУХА"}, 0), C83,C80,C82,C81,E81,E82,E80,E83)%)*(D79),0)</f>
        <v>30830</v>
      </c>
      <c r="L101" s="1031">
        <f t="array" ref="L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УДАР"},0),L84,L85,L81,L82,L83,0),0)+CHOOSE(MATCH(LOWER(TRIM(J22)),{"ПАР";"ОБ.ПАР";"ТАЯНИЕ";"ОБ.ТАЯНИЕ";"ОБОСТР.";"РАЗРАСТ.";"НЕТ"}, 0), 0,0,0,0,D102,D103,0))*(1+L87%+CHOOSE(MATCH(LOWER(TRIM(N101)),{"КРИО";"ПИРО";"ЭЛЕКТРО";"ГИДРО";"АНЕМО";"ГЕО";"ДЕНДРО";"ФИЗУХА"}, 0), L76,L73,L75,L74,L78,L77,L79,L80)%+CHOOSE(MATCH(LOWER(TRIM(S101)),{"ЕШКА";"УЛЬТА";"ОБ. УДАРЫ";"ЗАР. УДАРЫ";"ПРЫЖКИ";"УНИК. УДАР"},0),J84%,J85%,J86%,J87%,J88%,0))*(1+(J76%+CHOOSE(MATCH(LOWER(TRIM(S101)),{"ЕШКА";"УЛЬТА";"ОБ. УДАРЫ";"ЗАР. УДАРЫ";"ПРЫЖКИ";"УНИК. УДАР"},0),J91,J92,J89,J90,J93,0)%)*MIN((J77%+CHOOSE(MATCH(LOWER(TRIM(S101)),{"ЕШКА";"УЛЬТА";"ОБ. УДАРЫ";"ЗАР. УДАРЫ";"ПРЫЖКИ";"УНИК. УДАР"},0),L90,L91,L88,L89,L92,0)%),100%))*(1-CHOOSE(MATCH(LOWER(TRIM(N101)),{"КРИО";"ПИРО";"ЭЛЕКТРО";"ГИДРО";"АНЕМО";"ГЕО";"ДЕНДРО";"ФИЗУХА"}, 0), C83,C80,C82,C81,E81,E82,E80,E83)%)*(D79),0)</f>
        <v>26854</v>
      </c>
      <c r="M101" s="629" t="s">
        <v>125</v>
      </c>
      <c r="N101" s="1021" t="s">
        <v>1877</v>
      </c>
      <c r="P101" s="627" t="str">
        <f t="shared" si="18"/>
        <v>ОБ. УДАРЫ</v>
      </c>
      <c r="Q101" s="1032">
        <v>231.7</v>
      </c>
      <c r="R101" s="1033"/>
      <c r="S101" s="1024" t="s">
        <v>2142</v>
      </c>
      <c r="T101" s="1025" t="s">
        <v>2143</v>
      </c>
    </row>
    <row r="102" ht="19.5" customHeight="1">
      <c r="B102" s="1014" t="s">
        <v>2150</v>
      </c>
      <c r="C102" s="544"/>
      <c r="D102" s="1035">
        <f t="array" ref="D102">ROUND(1.15*(CHOOSE(MATCH(LOWER(TRIM(B23)),{"УРОВЕНЬ 100";"УРОВЕНЬ 95";"УРОВЕНЬ 90";"УРОВЕНЬ 80"},0),1674.8092,1561.468,1446.85,1077.44)*(1+(5*J75)/(1200+J75)+N75%)),0)</f>
        <v>2122</v>
      </c>
      <c r="E102" s="817" t="s">
        <v>14</v>
      </c>
      <c r="F102" s="1016" t="s">
        <v>14</v>
      </c>
      <c r="G102" s="816" t="s">
        <v>14</v>
      </c>
      <c r="H102" s="1018" t="s">
        <v>560</v>
      </c>
      <c r="I102" s="627" t="str">
        <f t="shared" si="17"/>
        <v>ЗАР. УДАРЫ</v>
      </c>
      <c r="J102" s="1034">
        <f t="array" ref="J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УДАР"},0),J84%,J85%,J86%,J87%,J88%,0))*(1-CHOOSE(MATCH(LOWER(TRIM(N102)),{"КРИО";"ПИРО";"ЭЛЕКТРО";"ГИДРО";"АНЕМО";"ГЕО";"ДЕНДРО";"ФИЗУХА"}, 0), C83,C80,C82,C81,E81,E82,E80,E83)%)*(D79),0)</f>
        <v>0</v>
      </c>
      <c r="K102" s="1020">
        <f t="array" ref="K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УДАР"},0),J84%,J85%,J86%,J87%,J88%,0))*(1+J76%)*(1-CHOOSE(MATCH(LOWER(TRIM(N102)),{"КРИО";"ПИРО";"ЭЛЕКТРО";"ГИДРО";"АНЕМО";"ГЕО";"ДЕНДРО";"ФИЗУХА"}, 0), C83,C80,C82,C81,E81,E82,E80,E83)%)*(D79),0)</f>
        <v>0</v>
      </c>
      <c r="L102" s="1020">
        <f t="array" ref="L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УДАР"},0),L84,L85,L81,L82,L83,0),0)+CHOOSE(MATCH(LOWER(TRIM(J23)),{"ПАР";"ОБ.ПАР";"ТАЯНИЕ";"ОБ.ТАЯНИЕ";"ОБОСТР.";"РАЗРАСТ.";"НЕТ"}, 0), 0,0,0,0,D102,D103,0))*(1+L87%+CHOOSE(MATCH(LOWER(TRIM(N102)),{"КРИО";"ПИРО";"ЭЛЕКТРО";"ГИДРО";"АНЕМО";"ГЕО";"ДЕНДРО";"ФИЗУХА"}, 0), L76,L73,L75,L74,L78,L77,L79,L80)%+CHOOSE(MATCH(LOWER(TRIM(S102)),{"ЕШКА";"УЛЬТА";"ОБ. УДАРЫ";"ЗАР. УДАРЫ";"ПРЫЖКИ";"УНИК. УДАР"},0),J84%,J85%,J86%,J87%,J88%,0))*(1+(J76%+CHOOSE(MATCH(LOWER(TRIM(S102)),{"ЕШКА";"УЛЬТА";"ОБ. УДАРЫ";"ЗАР. УДАРЫ";"ПРЫЖКИ";"УНИК. УДАР"},0),J91,J92,J89,J90,J93,0)%)*MIN((J77%+CHOOSE(MATCH(LOWER(TRIM(S102)),{"ЕШКА";"УЛЬТА";"ОБ. УДАРЫ";"ЗАР. УДАРЫ";"ПРЫЖКИ";"УНИК. УДАР"},0),L90,L91,L88,L89,L92,0)%),100%))*(1-CHOOSE(MATCH(LOWER(TRIM(N102)),{"КРИО";"ПИРО";"ЭЛЕКТРО";"ГИДРО";"АНЕМО";"ГЕО";"ДЕНДРО";"ФИЗУХА"}, 0), C83,C80,C82,C81,E81,E82,E80,E83)%)*(D79),0)</f>
        <v>0</v>
      </c>
      <c r="M102" s="629" t="s">
        <v>125</v>
      </c>
      <c r="N102" s="1021" t="s">
        <v>1877</v>
      </c>
      <c r="P102" s="627" t="str">
        <f t="shared" si="18"/>
        <v>ЗАР. УДАРЫ</v>
      </c>
      <c r="Q102" s="1022"/>
      <c r="R102" s="1023"/>
      <c r="S102" s="1024" t="s">
        <v>2151</v>
      </c>
      <c r="T102" s="1025" t="s">
        <v>2143</v>
      </c>
    </row>
    <row r="103" ht="19.5" customHeight="1">
      <c r="B103" s="1026" t="s">
        <v>2152</v>
      </c>
      <c r="C103" s="544"/>
      <c r="D103" s="1036">
        <f t="array" ref="D103">ROUND(1.25*(CHOOSE(MATCH(LOWER(TRIM(B23)),{"УРОВЕНЬ 100";"УРОВЕНЬ 95";"УРОВЕНЬ 90";"УРОВЕНЬ 80"},0),1674.8092,1561.468,1446.85,1077.44)*(1+(5*J75)/(1200+J75)+N75%)),0)</f>
        <v>2307</v>
      </c>
      <c r="E103" s="630" t="s">
        <v>14</v>
      </c>
      <c r="F103" s="573" t="s">
        <v>14</v>
      </c>
      <c r="G103" s="629" t="s">
        <v>14</v>
      </c>
      <c r="H103" s="1029" t="s">
        <v>569</v>
      </c>
      <c r="I103" s="627" t="str">
        <f t="shared" si="17"/>
        <v>ЗАР. УДАРЫ</v>
      </c>
      <c r="J103" s="1030">
        <f t="array" ref="J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УДАР"},0),J84%,J85%,J86%,J87%,J88%,0))*(1-CHOOSE(MATCH(LOWER(TRIM(N103)),{"КРИО";"ПИРО";"ЭЛЕКТРО";"ГИДРО";"АНЕМО";"ГЕО";"ДЕНДРО";"ФИЗУХА"}, 0), C83,C80,C82,C81,E81,E82,E80,E83)%)*(D79),0)</f>
        <v>8866</v>
      </c>
      <c r="K103" s="1031">
        <f t="array" ref="K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УДАР"},0),J84%,J85%,J86%,J87%,J88%,0))*(1+J76%)*(1-CHOOSE(MATCH(LOWER(TRIM(N103)),{"КРИО";"ПИРО";"ЭЛЕКТРО";"ГИДРО";"АНЕМО";"ГЕО";"ДЕНДРО";"ФИЗУХА"}, 0), C83,C80,C82,C81,E81,E82,E80,E83)%)*(D79),0)</f>
        <v>30419</v>
      </c>
      <c r="L103" s="1031">
        <f t="array" ref="L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УДАР"},0),L84,L85,L81,L82,L83,0),0)+CHOOSE(MATCH(LOWER(TRIM(J24)),{"ПАР";"ОБ.ПАР";"ТАЯНИЕ";"ОБ.ТАЯНИЕ";"ОБОСТР.";"РАЗРАСТ.";"НЕТ"}, 0), 0,0,0,0,D102,D103,0))*(1+L87%+CHOOSE(MATCH(LOWER(TRIM(N103)),{"КРИО";"ПИРО";"ЭЛЕКТРО";"ГИДРО";"АНЕМО";"ГЕО";"ДЕНДРО";"ФИЗУХА"}, 0), L76,L73,L75,L74,L78,L77,L79,L80)%+CHOOSE(MATCH(LOWER(TRIM(S103)),{"ЕШКА";"УЛЬТА";"ОБ. УДАРЫ";"ЗАР. УДАРЫ";"ПРЫЖКИ";"УНИК. УДАР"},0),J84%,J85%,J86%,J87%,J88%,0))*(1+(J76%+CHOOSE(MATCH(LOWER(TRIM(S103)),{"ЕШКА";"УЛЬТА";"ОБ. УДАРЫ";"ЗАР. УДАРЫ";"ПРЫЖКИ";"УНИК. УДАР"},0),J91,J92,J89,J90,J93,0)%)*MIN((J77%+CHOOSE(MATCH(LOWER(TRIM(S103)),{"ЕШКА";"УЛЬТА";"ОБ. УДАРЫ";"ЗАР. УДАРЫ";"ПРЫЖКИ";"УНИК. УДАР"},0),L90,L91,L88,L89,L92,0)%),100%))*(1-CHOOSE(MATCH(LOWER(TRIM(N103)),{"КРИО";"ПИРО";"ЭЛЕКТРО";"ГИДРО";"АНЕМО";"ГЕО";"ДЕНДРО";"ФИЗУХА"}, 0), C83,C80,C82,C81,E81,E82,E80,E83)%)*(D79),0)</f>
        <v>26496</v>
      </c>
      <c r="M103" s="629" t="s">
        <v>2153</v>
      </c>
      <c r="N103" s="1021" t="s">
        <v>1877</v>
      </c>
      <c r="P103" s="627" t="str">
        <f t="shared" si="18"/>
        <v>ЗАР. УДАРЫ</v>
      </c>
      <c r="Q103" s="1032">
        <v>180.2</v>
      </c>
      <c r="R103" s="1033">
        <v>35.0</v>
      </c>
      <c r="S103" s="1024" t="s">
        <v>2151</v>
      </c>
      <c r="T103" s="1025" t="s">
        <v>2143</v>
      </c>
    </row>
    <row r="104" ht="19.5" customHeight="1">
      <c r="B104" s="1014" t="s">
        <v>2154</v>
      </c>
      <c r="C104" s="544"/>
      <c r="D104" s="1015">
        <v>0.0</v>
      </c>
      <c r="E104" s="817">
        <v>0.0</v>
      </c>
      <c r="F104" s="1016">
        <v>0.0</v>
      </c>
      <c r="G104" s="816" t="s">
        <v>14</v>
      </c>
      <c r="H104" s="1018" t="s">
        <v>159</v>
      </c>
      <c r="I104" s="627" t="str">
        <f t="shared" si="17"/>
        <v>ЗАР. УДАРЫ</v>
      </c>
      <c r="J104" s="1034">
        <f t="array" ref="J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УДАР"},0),J84%,J85%,J86%,J87%,J88%,0))*(1-CHOOSE(MATCH(LOWER(TRIM(N104)),{"КРИО";"ПИРО";"ЭЛЕКТРО";"ГИДРО";"АНЕМО";"ГЕО";"ДЕНДРО";"ФИЗУХА"}, 0), C83,C80,C82,C81,E81,E82,E80,E83)%)*(D79),0)</f>
        <v>16513</v>
      </c>
      <c r="K104" s="1020">
        <f t="array" ref="K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УДАР"},0),J84%,J85%,J86%,J87%,J88%,0))*(1+J76%)*(1-CHOOSE(MATCH(LOWER(TRIM(N104)),{"КРИО";"ПИРО";"ЭЛЕКТРО";"ГИДРО";"АНЕМО";"ГЕО";"ДЕНДРО";"ФИЗУХА"}, 0), C83,C80,C82,C81,E81,E82,E80,E83)%)*(D79),0)</f>
        <v>56658</v>
      </c>
      <c r="L104" s="1020">
        <f t="array" ref="L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УДАР"},0),L84,L85,L81,L82,L83,0),0)+CHOOSE(MATCH(LOWER(TRIM(J25)),{"ПАР";"ОБ.ПАР";"ТАЯНИЕ";"ОБ.ТАЯНИЕ";"ОБОСТР.";"РАЗРАСТ.";"НЕТ"}, 0), 0,0,0,0,D102,D103,0))*(1+L87%+CHOOSE(MATCH(LOWER(TRIM(N104)),{"КРИО";"ПИРО";"ЭЛЕКТРО";"ГИДРО";"АНЕМО";"ГЕО";"ДЕНДРО";"ФИЗУХА"}, 0), L76,L73,L75,L74,L78,L77,L79,L80)%+CHOOSE(MATCH(LOWER(TRIM(S104)),{"ЕШКА";"УЛЬТА";"ОБ. УДАРЫ";"ЗАР. УДАРЫ";"ПРЫЖКИ";"УНИК. УДАР"},0),J84%,J85%,J86%,J87%,J88%,0))*(1+(J76%+CHOOSE(MATCH(LOWER(TRIM(S104)),{"ЕШКА";"УЛЬТА";"ОБ. УДАРЫ";"ЗАР. УДАРЫ";"ПРЫЖКИ";"УНИК. УДАР"},0),J91,J92,J89,J90,J93,0)%)*MIN((J77%+CHOOSE(MATCH(LOWER(TRIM(S104)),{"ЕШКА";"УЛЬТА";"ОБ. УДАРЫ";"ЗАР. УДАРЫ";"ПРЫЖКИ";"УНИК. УДАР"},0),L90,L91,L88,L89,L92,0)%),100%))*(1-CHOOSE(MATCH(LOWER(TRIM(N104)),{"КРИО";"ПИРО";"ЭЛЕКТРО";"ГИДРО";"АНЕМО";"ГЕО";"ДЕНДРО";"ФИЗУХА"}, 0), C83,C80,C82,C81,E81,E82,E80,E83)%)*(D79),0)</f>
        <v>49351</v>
      </c>
      <c r="M104" s="629" t="s">
        <v>2153</v>
      </c>
      <c r="N104" s="1021" t="s">
        <v>1877</v>
      </c>
      <c r="P104" s="627" t="str">
        <f t="shared" si="18"/>
        <v>ЗАР. УДАРЫ</v>
      </c>
      <c r="Q104" s="1022">
        <v>377.4</v>
      </c>
      <c r="R104" s="1023">
        <v>35.0</v>
      </c>
      <c r="S104" s="1024" t="s">
        <v>2151</v>
      </c>
      <c r="T104" s="1025" t="s">
        <v>2143</v>
      </c>
    </row>
    <row r="105" ht="19.5" customHeight="1">
      <c r="B105" s="1026" t="s">
        <v>2155</v>
      </c>
      <c r="C105" s="544"/>
      <c r="D105" s="1037"/>
      <c r="E105" s="1037"/>
      <c r="F105" s="1037"/>
      <c r="G105" s="1038" t="s">
        <v>14</v>
      </c>
      <c r="H105" s="1039" t="s">
        <v>159</v>
      </c>
      <c r="I105" s="627" t="str">
        <f t="shared" si="17"/>
        <v>УЛЬТА</v>
      </c>
      <c r="J105" s="1030">
        <f t="array" ref="J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УДАР"},0),J84%,J85%,J86%,J87%,J88%,0))*(1-CHOOSE(MATCH(LOWER(TRIM(N105)),{"КРИО";"ПИРО";"ЭЛЕКТРО";"ГИДРО";"АНЕМО";"ГЕО";"ДЕНДРО";"ФИЗУХА"}, 0), C83,C80,C82,C81,E81,E82,E80,E83)%)*(D79),0)</f>
        <v>0</v>
      </c>
      <c r="K105" s="1031">
        <f t="array" ref="K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УДАР"},0),J84%,J85%,J86%,J87%,J88%,0))*(1+J76%)*(1-CHOOSE(MATCH(LOWER(TRIM(N105)),{"КРИО";"ПИРО";"ЭЛЕКТРО";"ГИДРО";"АНЕМО";"ГЕО";"ДЕНДРО";"ФИЗУХА"}, 0), C83,C80,C82,C81,E81,E82,E80,E83)%)*(D79),0)</f>
        <v>0</v>
      </c>
      <c r="L105" s="1031">
        <f t="array" ref="L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УДАР"},0),L84,L85,L81,L82,L83,0),0)+CHOOSE(MATCH(LOWER(TRIM(J26)),{"ПАР";"ОБ.ПАР";"ТАЯНИЕ";"ОБ.ТАЯНИЕ";"ОБОСТР.";"РАЗРАСТ.";"НЕТ"}, 0), 0,0,0,0,D102,D103,0))*(1+L87%+CHOOSE(MATCH(LOWER(TRIM(N105)),{"КРИО";"ПИРО";"ЭЛЕКТРО";"ГИДРО";"АНЕМО";"ГЕО";"ДЕНДРО";"ФИЗУХА"}, 0), L76,L73,L75,L74,L78,L77,L79,L80)%+CHOOSE(MATCH(LOWER(TRIM(S105)),{"ЕШКА";"УЛЬТА";"ОБ. УДАРЫ";"ЗАР. УДАРЫ";"ПРЫЖКИ";"УНИК. УДАР"},0),J84%,J85%,J86%,J87%,J88%,0))*(1+(J76%+CHOOSE(MATCH(LOWER(TRIM(S105)),{"ЕШКА";"УЛЬТА";"ОБ. УДАРЫ";"ЗАР. УДАРЫ";"ПРЫЖКИ";"УНИК. УДАР"},0),J91,J92,J89,J90,J93,0)%)*MIN((J77%+CHOOSE(MATCH(LOWER(TRIM(S105)),{"ЕШКА";"УЛЬТА";"ОБ. УДАРЫ";"ЗАР. УДАРЫ";"ПРЫЖКИ";"УНИК. УДАР"},0),L90,L91,L88,L89,L92,0)%),100%))*(1-CHOOSE(MATCH(LOWER(TRIM(N105)),{"КРИО";"ПИРО";"ЭЛЕКТРО";"ГИДРО";"АНЕМО";"ГЕО";"ДЕНДРО";"ФИЗУХА"}, 0), C83,C80,C82,C81,E81,E82,E80,E83)%)*(D79),0)</f>
        <v>0</v>
      </c>
      <c r="M105" s="629" t="s">
        <v>125</v>
      </c>
      <c r="N105" s="1021" t="s">
        <v>1877</v>
      </c>
      <c r="P105" s="627" t="str">
        <f t="shared" si="18"/>
        <v>УЛЬТА</v>
      </c>
      <c r="Q105" s="1032"/>
      <c r="R105" s="1033"/>
      <c r="S105" s="1024" t="s">
        <v>1902</v>
      </c>
      <c r="T105" s="1025" t="s">
        <v>2143</v>
      </c>
    </row>
    <row r="106" ht="19.5" customHeight="1">
      <c r="B106" s="1014" t="s">
        <v>2156</v>
      </c>
      <c r="C106" s="544"/>
      <c r="D106" s="1015">
        <v>0.0</v>
      </c>
      <c r="E106" s="817">
        <v>0.0</v>
      </c>
      <c r="F106" s="1016">
        <v>0.0</v>
      </c>
      <c r="G106" s="816" t="s">
        <v>14</v>
      </c>
      <c r="H106" s="1018" t="s">
        <v>159</v>
      </c>
      <c r="I106" s="627" t="str">
        <f t="shared" si="17"/>
        <v>ЕШКА</v>
      </c>
      <c r="J106" s="1034">
        <f t="array" ref="J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УДАР"},0),J84%,J85%,J86%,J87%,J88%,0))*(1-CHOOSE(MATCH(LOWER(TRIM(N106)),{"КРИО";"ПИРО";"ЭЛЕКТРО";"ГИДРО";"АНЕМО";"ГЕО";"ДЕНДРО";"ФИЗУХА"}, 0), C83,C80,C82,C81,E81,E82,E80,E83)%)*(D79),0)</f>
        <v>21446</v>
      </c>
      <c r="K106" s="1020">
        <f t="array" ref="K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УДАР"},0),J84%,J85%,J86%,J87%,J88%,0))*(1+J76%)*(1-CHOOSE(MATCH(LOWER(TRIM(N106)),{"КРИО";"ПИРО";"ЭЛЕКТРО";"ГИДРО";"АНЕМО";"ГЕО";"ДЕНДРО";"ФИЗУХА"}, 0), C83,C80,C82,C81,E81,E82,E80,E83)%)*(D79),0)</f>
        <v>73581</v>
      </c>
      <c r="L106" s="1020">
        <f t="array" ref="L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УДАР"},0),L84,L85,L81,L82,L83,0),0)+CHOOSE(MATCH(LOWER(TRIM(J27)),{"ПАР";"ОБ.ПАР";"ТАЯНИЕ";"ОБ.ТАЯНИЕ";"ОБОСТР.";"РАЗРАСТ.";"НЕТ"}, 0), 0,0,0,0,D102,D103,0))*(1+L87%+CHOOSE(MATCH(LOWER(TRIM(N106)),{"КРИО";"ПИРО";"ЭЛЕКТРО";"ГИДРО";"АНЕМО";"ГЕО";"ДЕНДРО";"ФИЗУХА"}, 0), L76,L73,L75,L74,L78,L77,L79,L80)%+CHOOSE(MATCH(LOWER(TRIM(S106)),{"ЕШКА";"УЛЬТА";"ОБ. УДАРЫ";"ЗАР. УДАРЫ";"ПРЫЖКИ";"УНИК. УДАР"},0),J84%,J85%,J86%,J87%,J88%,0))*(1+(J76%+CHOOSE(MATCH(LOWER(TRIM(S106)),{"ЕШКА";"УЛЬТА";"ОБ. УДАРЫ";"ЗАР. УДАРЫ";"ПРЫЖКИ";"УНИК. УДАР"},0),J91,J92,J89,J90,J93,0)%)*MIN((J77%+CHOOSE(MATCH(LOWER(TRIM(S106)),{"ЕШКА";"УЛЬТА";"ОБ. УДАРЫ";"ЗАР. УДАРЫ";"ПРЫЖКИ";"УНИК. УДАР"},0),L90,L91,L88,L89,L92,0)%),100%))*(1-CHOOSE(MATCH(LOWER(TRIM(N106)),{"КРИО";"ПИРО";"ЭЛЕКТРО";"ГИДРО";"АНЕМО";"ГЕО";"ДЕНДРО";"ФИЗУХА"}, 0), C83,C80,C82,C81,E81,E82,E80,E83)%)*(D79),0)</f>
        <v>64092</v>
      </c>
      <c r="M106" s="629" t="s">
        <v>125</v>
      </c>
      <c r="N106" s="1021" t="s">
        <v>1877</v>
      </c>
      <c r="P106" s="627" t="str">
        <f t="shared" si="18"/>
        <v>ЕШКА</v>
      </c>
      <c r="Q106" s="1022">
        <v>553.0</v>
      </c>
      <c r="R106" s="1023"/>
      <c r="S106" s="1024" t="s">
        <v>1898</v>
      </c>
      <c r="T106" s="1025" t="s">
        <v>2143</v>
      </c>
    </row>
    <row r="107" ht="19.5" customHeight="1">
      <c r="B107" s="1026" t="s">
        <v>2010</v>
      </c>
      <c r="C107" s="544"/>
      <c r="D107" s="338">
        <f t="array" ref="D107">ROUND(2*(CHOOSE(MATCH(LOWER(TRIM(B23)),{"УРОВЕНЬ 100";"УРОВЕНЬ 95";"УРОВЕНЬ 90";"УРОВЕНЬ 80"},0),1674.8092,1561.468,1446.85,1077.44)*(1+(16*J75)/(2000+J75)+N76%)*(1-E80%)),0)</f>
        <v>4013</v>
      </c>
      <c r="E107" s="338">
        <f t="array" ref="E107">ROUND(2*(CHOOSE(MATCH(LOWER(TRIM(B23)),{"УРОВЕНЬ 100";"УРОВЕНЬ 95";"УРОВЕНЬ 90";"УРОВЕНЬ 80"},0),1674.8092,1561.468,1446.85,1077.44)*(1+(16*J75)/(2000+J75)+N76%)*(1-E80%))*CHOOSE(MATCH(LOWER(TRIM(B107)),{"БУТОН";"БУТОН+С2(НАХ)";"БУТОН+А1(ЛАУ)";"БУТОН+С2+А1"},0), 1,2,2,2),0)</f>
        <v>4013</v>
      </c>
      <c r="F107" s="1040">
        <f t="array" ref="F107">ROUND(2*(CHOOSE(MATCH(LOWER(TRIM(B23)),{"УРОВЕНЬ 100";"УРОВЕНЬ 95";"УРОВЕНЬ 90";"УРОВЕНЬ 80"},0),1674.8092,1561.468,1446.85,1077.44)*(1+(16*J75)/(2000+J75)+N76%)*(1-E80%))*CHOOSE(MATCH(LOWER(TRIM(B107)),{"БУТОН";"БУТОН+С2(НАХ)";"БУТОН+А1(ЛАУ)";"БУТОН+С2+А1"},0), 1,1.2,1.15,1.45)+IF(G55=true,K69*500%,0),0)</f>
        <v>4013</v>
      </c>
      <c r="G107" s="1041" t="s">
        <v>14</v>
      </c>
      <c r="H107" s="1029" t="s">
        <v>569</v>
      </c>
      <c r="I107" s="627" t="str">
        <f t="shared" si="17"/>
        <v>УЛЬТА</v>
      </c>
      <c r="J107" s="1030">
        <f t="array" ref="J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УДАР"},0),J84%,J85%,J86%,J87%,J88%,0))*(1-CHOOSE(MATCH(LOWER(TRIM(N107)),{"КРИО";"ПИРО";"ЭЛЕКТРО";"ГИДРО";"АНЕМО";"ГЕО";"ДЕНДРО";"ФИЗУХА"}, 0), C83,C80,C82,C81,E81,E82,E80,E83)%)*(D79),0)</f>
        <v>0</v>
      </c>
      <c r="K107" s="1031">
        <f t="array" ref="K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УДАР"},0),J84%,J85%,J86%,J87%,J88%,0))*(1+J76%)*(1-CHOOSE(MATCH(LOWER(TRIM(N107)),{"КРИО";"ПИРО";"ЭЛЕКТРО";"ГИДРО";"АНЕМО";"ГЕО";"ДЕНДРО";"ФИЗУХА"}, 0), C83,C80,C82,C81,E81,E82,E80,E83)%)*(D79),0)</f>
        <v>0</v>
      </c>
      <c r="L107" s="1031">
        <f t="array" ref="L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УДАР"},0),L84,L85,L81,L82,L83,0),0)+CHOOSE(MATCH(LOWER(TRIM(J28)),{"ПАР";"ОБ.ПАР";"ТАЯНИЕ";"ОБ.ТАЯНИЕ";"ОБОСТР.";"РАЗРАСТ.";"НЕТ"}, 0), 0,0,0,0,D102,D103,0))*(1+L87%+CHOOSE(MATCH(LOWER(TRIM(N107)),{"КРИО";"ПИРО";"ЭЛЕКТРО";"ГИДРО";"АНЕМО";"ГЕО";"ДЕНДРО";"ФИЗУХА"}, 0), L76,L73,L75,L74,L78,L77,L79,L80)%+CHOOSE(MATCH(LOWER(TRIM(S107)),{"ЕШКА";"УЛЬТА";"ОБ. УДАРЫ";"ЗАР. УДАРЫ";"ПРЫЖКИ";"УНИК. УДАР"},0),J84%,J85%,J86%,J87%,J88%,0))*(1+(J76%+CHOOSE(MATCH(LOWER(TRIM(S107)),{"ЕШКА";"УЛЬТА";"ОБ. УДАРЫ";"ЗАР. УДАРЫ";"ПРЫЖКИ";"УНИК. УДАР"},0),J91,J92,J89,J90,J93,0)%)*MIN((J77%+CHOOSE(MATCH(LOWER(TRIM(S107)),{"ЕШКА";"УЛЬТА";"ОБ. УДАРЫ";"ЗАР. УДАРЫ";"ПРЫЖКИ";"УНИК. УДАР"},0),L90,L91,L88,L89,L92,0)%),100%))*(1-CHOOSE(MATCH(LOWER(TRIM(N107)),{"КРИО";"ПИРО";"ЭЛЕКТРО";"ГИДРО";"АНЕМО";"ГЕО";"ДЕНДРО";"ФИЗУХА"}, 0), C83,C80,C82,C81,E81,E82,E80,E83)%)*(D79),0)</f>
        <v>0</v>
      </c>
      <c r="M107" s="629" t="s">
        <v>125</v>
      </c>
      <c r="N107" s="1021" t="s">
        <v>1877</v>
      </c>
      <c r="P107" s="627" t="str">
        <f t="shared" si="18"/>
        <v>УЛЬТА</v>
      </c>
      <c r="Q107" s="1032"/>
      <c r="R107" s="1033"/>
      <c r="S107" s="1024" t="s">
        <v>1902</v>
      </c>
      <c r="T107" s="1025" t="s">
        <v>2143</v>
      </c>
    </row>
    <row r="108" ht="19.5" customHeight="1">
      <c r="B108" s="1026" t="s">
        <v>2014</v>
      </c>
      <c r="C108" s="544"/>
      <c r="D108" s="1035">
        <f t="array" ref="D108">ROUND(3*(CHOOSE(MATCH(LOWER(TRIM(B23)),{"УРОВЕНЬ 100";"УРОВЕНЬ 95";"УРОВЕНЬ 90";"УРОВЕНЬ 80"},0),1674.8092,1561.468,1446.85,1077.44)*(1+(16*J75)/(2000+J75)+N78%)*(1-E80%)),0)</f>
        <v>6020</v>
      </c>
      <c r="E108" s="1042">
        <f t="array" ref="E108">ROUND(3*(CHOOSE(MATCH(LOWER(TRIM(B23)),{"УРОВЕНЬ 100";"УРОВЕНЬ 95";"УРОВЕНЬ 90";"УРОВЕНЬ 80"},0),1674.8092,1561.468,1446.85,1077.44)*(1+(16*J75)/(2000+J75)+N78%)*(1-E80%))*CHOOSE(MATCH(LOWER(TRIM(B108)),{"ВЕГЕТАЦИЯ";"ВЕГЕТАЦИЯ+С2";"ВЕГЕТАЦИЯ+А1";"ВЕГЕТ.+С2+А1"},0), 1,2,2,2),0)</f>
        <v>6020</v>
      </c>
      <c r="F108" s="1043">
        <f t="array" ref="F108">ROUND(3*(CHOOSE(MATCH(LOWER(TRIM(B23)),{"УРОВЕНЬ 100";"УРОВЕНЬ 95";"УРОВЕНЬ 90";"УРОВЕНЬ 80"},0),1674.8092,1561.468,1446.85,1077.44)*(1+(16*J75)/(2000+J75)+N78%)*(1-E80%))*CHOOSE(MATCH(LOWER(TRIM(B108)),{"ВЕГЕТАЦИЯ";"ВЕГЕТАЦИЯ+С2";"ВЕГЕТАЦИЯ+А1";"ВЕГЕТ.+С2+А1"},0), 1,1.2,1.15,1.45)+IF(G55=true,K69*500%,0),0)</f>
        <v>6020</v>
      </c>
      <c r="G108" s="816" t="s">
        <v>14</v>
      </c>
      <c r="H108" s="1018" t="s">
        <v>569</v>
      </c>
      <c r="I108" s="627" t="str">
        <f t="shared" si="17"/>
        <v>УЛЬТА</v>
      </c>
      <c r="J108" s="1034">
        <f t="array" ref="J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УДАР"},0),J84%,J85%,J86%,J87%,J88%,0))*(1-CHOOSE(MATCH(LOWER(TRIM(N108)),{"КРИО";"ПИРО";"ЭЛЕКТРО";"ГИДРО";"АНЕМО";"ГЕО";"ДЕНДРО";"ФИЗУХА"}, 0), C83,C80,C82,C81,E81,E82,E80,E83)%)*(D79),0)</f>
        <v>0</v>
      </c>
      <c r="K108" s="1020">
        <f t="array" ref="K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УДАР"},0),J84%,J85%,J86%,J87%,J88%,0))*(1+J76%)*(1-CHOOSE(MATCH(LOWER(TRIM(N108)),{"КРИО";"ПИРО";"ЭЛЕКТРО";"ГИДРО";"АНЕМО";"ГЕО";"ДЕНДРО";"ФИЗУХА"}, 0), C83,C80,C82,C81,E81,E82,E80,E83)%)*(D79),0)</f>
        <v>0</v>
      </c>
      <c r="L108" s="1020">
        <f t="array" ref="L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УДАР"},0),L84,L85,L81,L82,L83,0),0)+CHOOSE(MATCH(LOWER(TRIM(J29)),{"ПАР";"ОБ.ПАР";"ТАЯНИЕ";"ОБ.ТАЯНИЕ";"ОБОСТР.";"РАЗРАСТ.";"НЕТ"}, 0), 0,0,0,0,D102,D103,0))*(1+L87%+CHOOSE(MATCH(LOWER(TRIM(N108)),{"КРИО";"ПИРО";"ЭЛЕКТРО";"ГИДРО";"АНЕМО";"ГЕО";"ДЕНДРО";"ФИЗУХА"}, 0), L76,L73,L75,L74,L78,L77,L79,L80)%+CHOOSE(MATCH(LOWER(TRIM(S108)),{"ЕШКА";"УЛЬТА";"ОБ. УДАРЫ";"ЗАР. УДАРЫ";"ПРЫЖКИ";"УНИК. УДАР"},0),J84%,J85%,J86%,J87%,J88%,0))*(1+(J76%+CHOOSE(MATCH(LOWER(TRIM(S108)),{"ЕШКА";"УЛЬТА";"ОБ. УДАРЫ";"ЗАР. УДАРЫ";"ПРЫЖКИ";"УНИК. УДАР"},0),J91,J92,J89,J90,J93,0)%)*MIN((J77%+CHOOSE(MATCH(LOWER(TRIM(S108)),{"ЕШКА";"УЛЬТА";"ОБ. УДАРЫ";"ЗАР. УДАРЫ";"ПРЫЖКИ";"УНИК. УДАР"},0),L90,L91,L88,L89,L92,0)%),100%))*(1-CHOOSE(MATCH(LOWER(TRIM(N108)),{"КРИО";"ПИРО";"ЭЛЕКТРО";"ГИДРО";"АНЕМО";"ГЕО";"ДЕНДРО";"ФИЗУХА"}, 0), C83,C80,C82,C81,E81,E82,E80,E83)%)*(D79),0)</f>
        <v>0</v>
      </c>
      <c r="M108" s="629" t="s">
        <v>125</v>
      </c>
      <c r="N108" s="1021" t="s">
        <v>1877</v>
      </c>
      <c r="P108" s="627" t="str">
        <f t="shared" si="18"/>
        <v>УЛЬТА</v>
      </c>
      <c r="Q108" s="1022"/>
      <c r="R108" s="1023"/>
      <c r="S108" s="1024" t="s">
        <v>1902</v>
      </c>
      <c r="T108" s="1025" t="s">
        <v>2143</v>
      </c>
    </row>
    <row r="109" ht="19.5" customHeight="1">
      <c r="B109" s="1026" t="s">
        <v>2019</v>
      </c>
      <c r="C109" s="544"/>
      <c r="D109" s="1036">
        <f t="array" ref="D109">ROUND(3*(CHOOSE(MATCH(LOWER(TRIM(B23)),{"УРОВЕНЬ 100";"УРОВЕНЬ 95";"УРОВЕНЬ 90";"УРОВЕНЬ 80"},0),1674.8092,1561.468,1446.85,1077.44)*(1+(16*J75)/(2000+J75)+N79%)*(1-E80%)),0)</f>
        <v>6020</v>
      </c>
      <c r="E109" s="628">
        <f t="array" ref="E109">ROUND(3*(CHOOSE(MATCH(LOWER(TRIM(B23)),{"УРОВЕНЬ 100";"УРОВЕНЬ 95";"УРОВЕНЬ 90";"УРОВЕНЬ 80"},0),1674.8092,1561.468,1446.85,1077.44)*(1+(16*J75)/(2000+J75)+N79%)*(1-E80%))*CHOOSE(MATCH(LOWER(TRIM(B109)),{"ЦВЕТЕНИЕ";"ЦВЕТЕНИЕ+С2";"ЦВЕТЕНИЕ+А1";"ЦВЕТ.+С2+А1"},0), 1,2,2,2),0)</f>
        <v>6020</v>
      </c>
      <c r="F109" s="1044">
        <f t="array" ref="F109">ROUND(3*(CHOOSE(MATCH(LOWER(TRIM(B23)),{"УРОВЕНЬ 100";"УРОВЕНЬ 95";"УРОВЕНЬ 90";"УРОВЕНЬ 80"},0),1674.8092,1561.468,1446.85,1077.44)*(1+(16*J75)/(2000+J75)+N79%)*(1-E80%))*CHOOSE(MATCH(LOWER(TRIM(B109)),{"ЦВЕТЕНИЕ";"ЦВЕТЕНИЕ+С2";"ЦВЕТЕНИЕ+А1";"ЦВЕТ.+С2+А1"},0), 1,1.2,1.15,1.45)+IF(G55=true,K69*500%,0),0)</f>
        <v>6020</v>
      </c>
      <c r="G109" s="629" t="s">
        <v>14</v>
      </c>
      <c r="H109" s="1029" t="s">
        <v>569</v>
      </c>
      <c r="I109" s="627" t="str">
        <f t="shared" si="17"/>
        <v>УНИК. УДАР</v>
      </c>
      <c r="J109" s="1030">
        <f t="array" ref="J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УДАР"},0),J84%,J85%,J86%,J87%,J88%,0))*(1-CHOOSE(MATCH(LOWER(TRIM(N109)),{"КРИО";"ПИРО";"ЭЛЕКТРО";"ГИДРО";"АНЕМО";"ГЕО";"ДЕНДРО";"ФИЗУХА"}, 0), C83,C80,C82,C81,E81,E82,E80,E83)%)*(D79),0)</f>
        <v>0</v>
      </c>
      <c r="K109" s="1031">
        <f t="array" ref="K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УДАР"},0),J84%,J85%,J86%,J87%,J88%,0))*(1+J76%)*(1-CHOOSE(MATCH(LOWER(TRIM(N109)),{"КРИО";"ПИРО";"ЭЛЕКТРО";"ГИДРО";"АНЕМО";"ГЕО";"ДЕНДРО";"ФИЗУХА"}, 0), C83,C80,C82,C81,E81,E82,E80,E83)%)*(D79),0)</f>
        <v>0</v>
      </c>
      <c r="L109" s="1031">
        <f t="array" ref="L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УДАР"},0),L84,L85,L81,L82,L83,0),0)+CHOOSE(MATCH(LOWER(TRIM(J30)),{"ПАР";"ОБ.ПАР";"ТАЯНИЕ";"ОБ.ТАЯНИЕ";"ОБОСТР.";"РАЗРАСТ.";"НЕТ"}, 0), 0,0,0,0,D102,D103,0))*(1+L87%+CHOOSE(MATCH(LOWER(TRIM(N109)),{"КРИО";"ПИРО";"ЭЛЕКТРО";"ГИДРО";"АНЕМО";"ГЕО";"ДЕНДРО";"ФИЗУХА"}, 0), L76,L73,L75,L74,L78,L77,L79,L80)%+CHOOSE(MATCH(LOWER(TRIM(S109)),{"ЕШКА";"УЛЬТА";"ОБ. УДАРЫ";"ЗАР. УДАРЫ";"ПРЫЖКИ";"УНИК. УДАР"},0),J84%,J85%,J86%,J87%,J88%,0))*(1+(J76%+CHOOSE(MATCH(LOWER(TRIM(S109)),{"ЕШКА";"УЛЬТА";"ОБ. УДАРЫ";"ЗАР. УДАРЫ";"ПРЫЖКИ";"УНИК. УДАР"},0),J91,J92,J89,J90,J93,0)%)*MIN((J77%+CHOOSE(MATCH(LOWER(TRIM(S109)),{"ЕШКА";"УЛЬТА";"ОБ. УДАРЫ";"ЗАР. УДАРЫ";"ПРЫЖКИ";"УНИК. УДАР"},0),L90,L91,L88,L89,L92,0)%),100%))*(1-CHOOSE(MATCH(LOWER(TRIM(N109)),{"КРИО";"ПИРО";"ЭЛЕКТРО";"ГИДРО";"АНЕМО";"ГЕО";"ДЕНДРО";"ФИЗУХА"}, 0), C83,C80,C82,C81,E81,E82,E80,E83)%)*(D79),0)</f>
        <v>0</v>
      </c>
      <c r="M109" s="629" t="s">
        <v>125</v>
      </c>
      <c r="N109" s="1021" t="s">
        <v>1877</v>
      </c>
      <c r="P109" s="627" t="str">
        <f t="shared" si="18"/>
        <v>УНИК. УДАР</v>
      </c>
      <c r="Q109" s="1032"/>
      <c r="R109" s="1033"/>
      <c r="S109" s="1024" t="s">
        <v>2157</v>
      </c>
      <c r="T109" s="1025" t="s">
        <v>2143</v>
      </c>
    </row>
    <row r="110" ht="19.5" customHeight="1">
      <c r="B110" s="1014" t="s">
        <v>2158</v>
      </c>
      <c r="C110" s="544"/>
      <c r="D110" s="1035">
        <f t="array" ref="D110">ROUND(2*(CHOOSE(MATCH(LOWER(TRIM(B23)),{"УРОВЕНЬ 100";"УРОВЕНЬ 95";"УРОВЕНЬ 90";"УРОВЕНЬ 80"},0),1674.8092,1561.468,1446.85,1077.44)*(1+(16*J75)/(2000+J75)+N80%)*(1-C82%)),0)</f>
        <v>4013</v>
      </c>
      <c r="E110" s="817" t="s">
        <v>14</v>
      </c>
      <c r="F110" s="1016" t="s">
        <v>14</v>
      </c>
      <c r="G110" s="816" t="s">
        <v>14</v>
      </c>
      <c r="H110" s="1018" t="s">
        <v>560</v>
      </c>
      <c r="I110" s="627" t="str">
        <f t="shared" si="17"/>
        <v>УЛЬТА</v>
      </c>
      <c r="J110" s="1034">
        <f t="array" ref="J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УДАР"},0),J84%,J85%,J86%,J87%,J88%,0))*(1-CHOOSE(MATCH(LOWER(TRIM(N110)),{"КРИО";"ПИРО";"ЭЛЕКТРО";"ГИДРО";"АНЕМО";"ГЕО";"ДЕНДРО";"ФИЗУХА"}, 0), C83,C80,C82,C81,E81,E82,E80,E83)%)*(D79),0)</f>
        <v>0</v>
      </c>
      <c r="K110" s="1020">
        <f t="array" ref="K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УДАР"},0),J84%,J85%,J86%,J87%,J88%,0))*(1+J76%)*(1-CHOOSE(MATCH(LOWER(TRIM(N110)),{"КРИО";"ПИРО";"ЭЛЕКТРО";"ГИДРО";"АНЕМО";"ГЕО";"ДЕНДРО";"ФИЗУХА"}, 0), C83,C80,C82,C81,E81,E82,E80,E83)%)*(D79),0)</f>
        <v>0</v>
      </c>
      <c r="L110" s="1020">
        <f t="array" ref="L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УДАР"},0),L84,L85,L81,L82,L83,0),0)+CHOOSE(MATCH(LOWER(TRIM(J31)),{"ПАР";"ОБ.ПАР";"ТАЯНИЕ";"ОБ.ТАЯНИЕ";"ОБОСТР.";"РАЗРАСТ.";"НЕТ"}, 0), 0,0,0,0,D102,D103,0))*(1+L87%+CHOOSE(MATCH(LOWER(TRIM(N110)),{"КРИО";"ПИРО";"ЭЛЕКТРО";"ГИДРО";"АНЕМО";"ГЕО";"ДЕНДРО";"ФИЗУХА"}, 0), L76,L73,L75,L74,L78,L77,L79,L80)%+CHOOSE(MATCH(LOWER(TRIM(S110)),{"ЕШКА";"УЛЬТА";"ОБ. УДАРЫ";"ЗАР. УДАРЫ";"ПРЫЖКИ";"УНИК. УДАР"},0),J84%,J85%,J86%,J87%,J88%,0))*(1+(J76%+CHOOSE(MATCH(LOWER(TRIM(S110)),{"ЕШКА";"УЛЬТА";"ОБ. УДАРЫ";"ЗАР. УДАРЫ";"ПРЫЖКИ";"УНИК. УДАР"},0),J91,J92,J89,J90,J93,0)%)*MIN((J77%+CHOOSE(MATCH(LOWER(TRIM(S110)),{"ЕШКА";"УЛЬТА";"ОБ. УДАРЫ";"ЗАР. УДАРЫ";"ПРЫЖКИ";"УНИК. УДАР"},0),L90,L91,L88,L89,L92,0)%),100%))*(1-CHOOSE(MATCH(LOWER(TRIM(N110)),{"КРИО";"ПИРО";"ЭЛЕКТРО";"ГИДРО";"АНЕМО";"ГЕО";"ДЕНДРО";"ФИЗУХА"}, 0), C83,C80,C82,C81,E81,E82,E80,E83)%)*(D79),0)</f>
        <v>0</v>
      </c>
      <c r="M110" s="629" t="s">
        <v>125</v>
      </c>
      <c r="N110" s="1021" t="s">
        <v>1877</v>
      </c>
      <c r="P110" s="627" t="str">
        <f t="shared" si="18"/>
        <v>УЛЬТА</v>
      </c>
      <c r="Q110" s="1022"/>
      <c r="R110" s="1023"/>
      <c r="S110" s="1024" t="s">
        <v>1902</v>
      </c>
      <c r="T110" s="1025" t="s">
        <v>2143</v>
      </c>
    </row>
    <row r="111" ht="19.5" customHeight="1">
      <c r="B111" s="1026" t="s">
        <v>2159</v>
      </c>
      <c r="C111" s="544"/>
      <c r="D111" s="1036">
        <f t="array" ref="D111">ROUND(1.8*(CHOOSE(MATCH(LOWER(TRIM(B23)),{"УРОВЕНЬ 100";"УРОВЕНЬ 95";"УРОВЕНЬ 90";"УРОВЕНЬ 80"},0),1674.8092,1561.468,1446.85,1077.44)*(1+MIN((K67+M67)*0.00007, 0.28))*(1+(6*J75)/(2000+J75)+N81%)*(1-C82%)),0)</f>
        <v>2819</v>
      </c>
      <c r="E111" s="628">
        <f t="array" ref="E111">ROUND(1.8*(CHOOSE(MATCH(LOWER(TRIM(B23)),{"УРОВЕНЬ 100";"УРОВЕНЬ 95";"УРОВЕНЬ 90";"УРОВЕНЬ 80"},0),1674.8092,1561.468,1446.85,1077.44)*(1+MIN((K67+M67)*0.00007, 0.28))*(1+(6*J75)/(2000+J75)+N81%)*(1-C82%)*(1+J76%)),0)</f>
        <v>9674</v>
      </c>
      <c r="F111" s="1044">
        <f t="array" ref="F111">ROUND(1.8*(CHOOSE(MATCH(LOWER(TRIM(B23)),{"УРОВЕНЬ 100";"УРОВЕНЬ 95";"УРОВЕНЬ 90";"УРОВЕНЬ 80"},0),1674.8092,1561.468,1446.85,1077.44)*(1+MIN((K67+M67)*0.00007, 0.28))*(1+(6*J75)/(2000+J75)+N81%)*(1-C82%)*(1+J76%*J77%)),0)</f>
        <v>8426</v>
      </c>
      <c r="G111" s="629" t="s">
        <v>14</v>
      </c>
      <c r="H111" s="1029" t="s">
        <v>560</v>
      </c>
      <c r="I111" s="627" t="str">
        <f t="shared" si="17"/>
        <v>УНИК. УДАР</v>
      </c>
      <c r="J111" s="1030">
        <f t="array" ref="J111">ROUND((CHOOSE(MATCH(LOWER(TRIM(M111)),{"СА";"СА+ХП";"СА+МС";"СА+ЗЩ";"ХП";"ЗЩ"}, 0), J74,J74,J74,J74,J78,J79)*Q111%+CHOOSE(MATCH(LOWER(TRIM(M111)),{"СА";"СА+ХП";"СА+МС";"СА+ЗЩ";"ХП";"ЗЩ"}, 0), 0,J78,J75,J79,0,0)*R111%+IF(L31=TRUE,L86+CHOOSE(MATCH(LOWER(TRIM(S111)),{"ЕШКА";"УЛЬТА";"ОБ.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УДАР"},0),J84%,J85%,J86%,J87%,J88%,0))*(1-CHOOSE(MATCH(LOWER(TRIM(N111)),{"КРИО";"ПИРО";"ЭЛЕКТРО";"ГИДРО";"АНЕМО";"ГЕО";"ДЕНДРО";"ФИЗУХА"}, 0), C83,C80,C82,C81,E81,E82,E80,E83)%)*(D79),0)</f>
        <v>0</v>
      </c>
      <c r="K111" s="1031">
        <f t="array" ref="K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УДАР"},0),J84%,J85%,J86%,J87%,J88%,0))*(1+J76%)*(1-CHOOSE(MATCH(LOWER(TRIM(N111)),{"КРИО";"ПИРО";"ЭЛЕКТРО";"ГИДРО";"АНЕМО";"ГЕО";"ДЕНДРО";"ФИЗУХА"}, 0), C83,C80,C82,C81,E81,E82,E80,E83)%)*(D79),0)</f>
        <v>0</v>
      </c>
      <c r="L111" s="1031">
        <f t="array" ref="L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УДАР"},0),L84,L85,L81,L82,L83,0),0)+CHOOSE(MATCH(LOWER(TRIM(J32)),{"ПАР";"ОБ.ПАР";"ТАЯНИЕ";"ОБ.ТАЯНИЕ";"ОБОСТР.";"РАЗРАСТ.";"НЕТ"}, 0), 0,0,0,0,D102,D103,0))*(1+L87%+CHOOSE(MATCH(LOWER(TRIM(N111)),{"КРИО";"ПИРО";"ЭЛЕКТРО";"ГИДРО";"АНЕМО";"ГЕО";"ДЕНДРО";"ФИЗУХА"}, 0), L76,L73,L75,L74,L78,L77,L79,L80)%+CHOOSE(MATCH(LOWER(TRIM(S111)),{"ЕШКА";"УЛЬТА";"ОБ. УДАРЫ";"ЗАР. УДАРЫ";"ПРЫЖКИ";"УНИК. УДАР"},0),J84%,J85%,J86%,J87%,J88%,0))*(1+(J76%+CHOOSE(MATCH(LOWER(TRIM(S111)),{"ЕШКА";"УЛЬТА";"ОБ. УДАРЫ";"ЗАР. УДАРЫ";"ПРЫЖКИ";"УНИК. УДАР"},0),J91,J92,J89,J90,J93,0)%)*MIN((J77%+CHOOSE(MATCH(LOWER(TRIM(S111)),{"ЕШКА";"УЛЬТА";"ОБ. УДАРЫ";"ЗАР. УДАРЫ";"ПРЫЖКИ";"УНИК. УДАР"},0),L90,L91,L88,L89,L92,0)%),100%))*(1-CHOOSE(MATCH(LOWER(TRIM(N111)),{"КРИО";"ПИРО";"ЭЛЕКТРО";"ГИДРО";"АНЕМО";"ГЕО";"ДЕНДРО";"ФИЗУХА"}, 0), C83,C80,C82,C81,E81,E82,E80,E83)%)*(D79),0)</f>
        <v>0</v>
      </c>
      <c r="M111" s="629" t="s">
        <v>125</v>
      </c>
      <c r="N111" s="1021" t="s">
        <v>1877</v>
      </c>
      <c r="P111" s="627" t="str">
        <f t="shared" si="18"/>
        <v>УНИК. УДАР</v>
      </c>
      <c r="Q111" s="1032"/>
      <c r="R111" s="1033"/>
      <c r="S111" s="1024" t="s">
        <v>2157</v>
      </c>
      <c r="T111" s="1025" t="s">
        <v>2143</v>
      </c>
    </row>
    <row r="112" ht="19.5" customHeight="1">
      <c r="B112" s="1014" t="s">
        <v>2160</v>
      </c>
      <c r="C112" s="544"/>
      <c r="D112" s="1042">
        <f t="array" ref="D112">ROUND((1.8*(CHOOSE(MATCH(LOWER(TRIM(B23)),{"УРОВЕНЬ 100";"УРОВЕНЬ 95";"УРОВЕНЬ 90";"УРОВЕНЬ 80"},0),1674.8092,1561.468,1446.85,1446.85,1077.44)*(1+MIN((K67+M67)*0.00007, 0.28))*(1+(6*J75)/(2000+J75)+N81%)*(1-C82%)))/2,0)</f>
        <v>1410</v>
      </c>
      <c r="E112" s="1042">
        <f t="array" ref="E112">ROUND((1.8*(CHOOSE(MATCH(LOWER(TRIM(B23)),{"УРОВЕНЬ 100";"УРОВЕНЬ 95";"УРОВЕНЬ 90";"УРОВЕНЬ 80"},0),1674.8092,1561.468,1446.85,1446.85,1077.44)*(1+MIN((K67+M67)*0.00007, 0.28))*(1+(6*J75)/(2000+J75)+N81%)*(1-C82%)*(1+J76%*J77%)))/2,0)</f>
        <v>4213</v>
      </c>
      <c r="F112" s="1042">
        <f t="array" ref="F112">ROUND((1.8*(CHOOSE(MATCH(LOWER(TRIM(B23)),{"УРОВЕНЬ 100";"УРОВЕНЬ 95";"УРОВЕНЬ 90";"УРОВЕНЬ 80"},0),1674.8092,1561.468,1446.85,1446.85,1077.44)*(1+MIN((K67+M67)*0.00007, 0.28))*(1+(6*J75)/(2000+J75)+N81%)*(1-C82%)*(1+J76%*J77%)))/2,0)</f>
        <v>4213</v>
      </c>
      <c r="G112" s="816" t="s">
        <v>14</v>
      </c>
      <c r="H112" s="1018" t="s">
        <v>560</v>
      </c>
      <c r="I112" s="627" t="str">
        <f t="shared" si="17"/>
        <v>УНИК. УДАР</v>
      </c>
      <c r="J112" s="1034">
        <f t="array" ref="J112">ROUND((CHOOSE(MATCH(LOWER(TRIM(M112)),{"СА";"СА+ХП";"СА+МС";"СА+ЗЩ";"ХП";"ЗЩ"}, 0), J74,J74,J74,J74,J78,J79)*Q112%+CHOOSE(MATCH(LOWER(TRIM(M112)),{"СА";"СА+ХП";"СА+МС";"СА+ЗЩ";"ХП";"ЗЩ"}, 0), 0,J78,J75,J79,0,0)*R112%+IF(L31=TRUE,L86+CHOOSE(MATCH(LOWER(TRIM(S112)),{"ЕШКА";"УЛЬТА";"ОБ. УДАРЫ";"ЗАР. УДАРЫ";"ПРЫЖКИ";"УНИК. УДАР"},0),L84,L85,L81,L82,L83,0),0))*(1+L87%+CHOOSE(MATCH(LOWER(TRIM(N112)),{"КРИО";"ПИРО";"ЭЛЕКТРО";"ГИДРО";"АНЕМО";"ГЕО";"ДЕНДРО";"ФИЗУХА"}, 0), L76,L73,L75,L74,L78,L77,L79,L80)%+CHOOSE(MATCH(LOWER(TRIM(S112)),{"ЕШКА";"УЛЬТА";"ОБ. УДАРЫ";"ЗАР. УДАРЫ";"ПРЫЖКИ";"УНИК. УДАР"},0),J84%,J85%,J86%,J87%,J88%,0))*(1-CHOOSE(MATCH(LOWER(TRIM(N112)),{"КРИО";"ПИРО";"ЭЛЕКТРО";"ГИДРО";"АНЕМО";"ГЕО";"ДЕНДРО";"ФИЗУХА"}, 0), C83,C80,C82,C81,E81,E82,E80,E83)%)*(D79),0)</f>
        <v>0</v>
      </c>
      <c r="K112" s="1020">
        <f t="array" ref="K112">ROUND((CHOOSE(MATCH(LOWER(TRIM(M112)),{"СА";"СА+ХП";"СА+МС";"СА+ЗЩ";"ХП";"ЗЩ"}, 0), J74,J74,J74,J74,J78,J79)*Q112%+CHOOSE(MATCH(LOWER(TRIM(M112)),{"СА";"СА+ХП";"СА+МС";"СА+ЗЩ";"ХП";"ЗЩ"}, 0), 0,J78,J75,J79,0,0)*R112%+IF(L32=TRUE,L86+CHOOSE(MATCH(LOWER(TRIM(S112)),{"ЕШКА";"УЛЬТА";"ОБ. УДАРЫ";"ЗАР. УДАРЫ";"ПРЫЖКИ";"УНИК. УДАР"},0),L84,L85,L81,L82,L83,0),0))*(1+L87%+CHOOSE(MATCH(LOWER(TRIM(N112)),{"КРИО";"ПИРО";"ЭЛЕКТРО";"ГИДРО";"АНЕМО";"ГЕО";"ДЕНДРО";"ФИЗУХА"}, 0), L76,L73,L75,L74,L78,L77,L79,L80)%+CHOOSE(MATCH(LOWER(TRIM(S112)),{"ЕШКА";"УЛЬТА";"ОБ. УДАРЫ";"ЗАР. УДАРЫ";"ПРЫЖКИ";"УНИК. УДАР"},0),J84%,J85%,J86%,J87%,J88%,0))*(1+J76%)*(1-CHOOSE(MATCH(LOWER(TRIM(N112)),{"КРИО";"ПИРО";"ЭЛЕКТРО";"ГИДРО";"АНЕМО";"ГЕО";"ДЕНДРО";"ФИЗУХА"}, 0), C83,C80,C82,C81,E81,E82,E80,E83)%)*(D79),0)</f>
        <v>0</v>
      </c>
      <c r="L112" s="1020">
        <f t="array" ref="L112">ROUND((CHOOSE(MATCH(LOWER(TRIM(M112)),{"СА";"СА+ХП";"СА+МС";"СА+ЗЩ";"ХП";"ЗЩ"}, 0), J74,J74,J74,J74,J78,J79)*Q112%+CHOOSE(MATCH(LOWER(TRIM(M112)),{"СА";"СА+ХП";"СА+МС";"СА+ЗЩ";"ХП";"ЗЩ"}, 0), 0,J78,J75,J79,0,0)*R112%+IF(L32=TRUE,L86+CHOOSE(MATCH(LOWER(TRIM(S112)),{"ЕШКА";"УЛЬТА";"ОБ. УДАРЫ";"ЗАР. УДАРЫ";"ПРЫЖКИ";"УНИК. УДАР"},0),L84,L85,L81,L82,L83,0),0)+CHOOSE(MATCH(LOWER(TRIM(J32)),{"ПАР";"ОБ.ПАР";"ТАЯНИЕ";"ОБ.ТАЯНИЕ";"ОБОСТР.";"РАЗРАСТ.";"НЕТ"}, 0), 0,0,0,0,D102,D103,0))*(1+L87%+CHOOSE(MATCH(LOWER(TRIM(N112)),{"КРИО";"ПИРО";"ЭЛЕКТРО";"ГИДРО";"АНЕМО";"ГЕО";"ДЕНДРО";"ФИЗУХА"}, 0), L76,L73,L75,L74,L78,L77,L79,L80)%+CHOOSE(MATCH(LOWER(TRIM(S112)),{"ЕШКА";"УЛЬТА";"ОБ. УДАРЫ";"ЗАР. УДАРЫ";"ПРЫЖКИ";"УНИК. УДАР"},0),J84%,J85%,J86%,J87%,J88%,0))*(1+(J76%+CHOOSE(MATCH(LOWER(TRIM(S112)),{"ЕШКА";"УЛЬТА";"ОБ. УДАРЫ";"ЗАР. УДАРЫ";"ПРЫЖКИ";"УНИК. УДАР"},0),J91,J92,J89,J90,J93,0)%)*MIN((J77%+CHOOSE(MATCH(LOWER(TRIM(S112)),{"ЕШКА";"УЛЬТА";"ОБ. УДАРЫ";"ЗАР. УДАРЫ";"ПРЫЖКИ";"УНИК. УДАР"},0),L90,L91,L88,L89,L92,0)%),100%))*(1-CHOOSE(MATCH(LOWER(TRIM(N112)),{"КРИО";"ПИРО";"ЭЛЕКТРО";"ГИДРО";"АНЕМО";"ГЕО";"ДЕНДРО";"ФИЗУХА"}, 0), C83,C80,C82,C81,E81,E82,E80,E83)%)*(D79),0)</f>
        <v>0</v>
      </c>
      <c r="M112" s="629" t="s">
        <v>125</v>
      </c>
      <c r="N112" s="1021" t="s">
        <v>1877</v>
      </c>
      <c r="P112" s="627" t="str">
        <f t="shared" si="18"/>
        <v>УНИК. УДАР</v>
      </c>
      <c r="Q112" s="1022"/>
      <c r="R112" s="1023"/>
      <c r="S112" s="1024" t="s">
        <v>2157</v>
      </c>
      <c r="T112" s="1025" t="s">
        <v>2143</v>
      </c>
    </row>
    <row r="113" ht="19.5" customHeight="1">
      <c r="B113" s="1026" t="s">
        <v>2161</v>
      </c>
      <c r="C113" s="544"/>
      <c r="D113" s="628">
        <f t="array" ref="D113">ROUND((1.8*(CHOOSE(MATCH(LOWER(TRIM(B23)),{"УРОВЕНЬ 100";"УРОВЕНЬ 95";"УРОВЕНЬ 90";"УРОВЕНЬ 80"},0),1674.8092,1561.468,1446.85,1077.44)*(1+MIN((K67+M67)*0.00007, 0.28))*(1+(6*J75)/(2000+J75)+N81%)*(1-C82%)))/12,0)</f>
        <v>235</v>
      </c>
      <c r="E113" s="628">
        <f t="array" ref="E113">ROUND((1.8*(CHOOSE(MATCH(LOWER(TRIM(B23)),{"УРОВЕНЬ 100";"УРОВЕНЬ 95";"УРОВЕНЬ 90";"УРОВЕНЬ 80"},0),1674.8092,1561.468,1446.85,1077.44)*(1+MIN((K67+M67)*0.00007, 0.28))*(1+(6*J75)/(2000+J75)+N81%)*(1-C82%)*(1+J76%)))/12,0)</f>
        <v>806</v>
      </c>
      <c r="F113" s="628">
        <f t="array" ref="F113">ROUND((1.8*(CHOOSE(MATCH(LOWER(TRIM(B23)),{"УРОВЕНЬ 100";"УРОВЕНЬ 95";"УРОВЕНЬ 90";"УРОВЕНЬ 80"},0),1674.8092,1561.468,1446.85,1077.44)*(1 + MIN((K67 + M67) * 0.00007, 0.28))*(1+(6*J75)/(2000+J75)+N81%)*(1-C82%)*(1+J76%*J77%)))/12,0)</f>
        <v>702</v>
      </c>
      <c r="G113" s="629" t="s">
        <v>14</v>
      </c>
      <c r="H113" s="1029" t="s">
        <v>560</v>
      </c>
      <c r="I113" s="627" t="str">
        <f t="shared" si="17"/>
        <v>УНИК. УДАР</v>
      </c>
      <c r="J113" s="1030">
        <f t="array" ref="J113">ROUND((CHOOSE(MATCH(LOWER(TRIM(M113)),{"СА";"СА+ХП";"СА+МС";"СА+ЗЩ";"ХП";"ЗЩ"}, 0), J74,J74,J74,J74,J78,J79)*Q113%+CHOOSE(MATCH(LOWER(TRIM(M113)),{"СА";"СА+ХП";"СА+МС";"СА+ЗЩ";"ХП";"ЗЩ"}, 0), 0,J78,J75,J79,0,0)*R113%+IF(L31=TRUE,L86+CHOOSE(MATCH(LOWER(TRIM(S113)),{"ЕШКА";"УЛЬТА";"ОБ. УДАРЫ";"ЗАР. УДАРЫ";"ПРЫЖКИ";"УНИК. УДАР"},0),L84,L85,L81,L82,L83,0),0))*(1+L87%+CHOOSE(MATCH(LOWER(TRIM(N113)),{"КРИО";"ПИРО";"ЭЛЕКТРО";"ГИДРО";"АНЕМО";"ГЕО";"ДЕНДРО";"ФИЗУХА"}, 0), L76,L73,L75,L74,L78,L77,L79,L80)%+CHOOSE(MATCH(LOWER(TRIM(S113)),{"ЕШКА";"УЛЬТА";"ОБ. УДАРЫ";"ЗАР. УДАРЫ";"ПРЫЖКИ";"УНИК. УДАР"},0),J84%,J85%,J86%,J87%,J88%,0))*(1-CHOOSE(MATCH(LOWER(TRIM(N113)),{"КРИО";"ПИРО";"ЭЛЕКТРО";"ГИДРО";"АНЕМО";"ГЕО";"ДЕНДРО";"ФИЗУХА"}, 0), C83,C80,C82,C81,E81,E82,E80,E83)%)*(D79),0)</f>
        <v>0</v>
      </c>
      <c r="K113" s="1031">
        <f t="array" ref="K113">ROUND((CHOOSE(MATCH(LOWER(TRIM(M113)),{"СА";"СА+ХП";"СА+МС";"СА+ЗЩ";"ХП";"ЗЩ"}, 0), J74,J74,J74,J74,J78,J79)*Q113%+CHOOSE(MATCH(LOWER(TRIM(M113)),{"СА";"СА+ХП";"СА+МС";"СА+ЗЩ";"ХП";"ЗЩ"}, 0), 0,J78,J75,J79,0,0)*R113%+IF(L32=TRUE,L86+CHOOSE(MATCH(LOWER(TRIM(S113)),{"ЕШКА";"УЛЬТА";"ОБ. УДАРЫ";"ЗАР. УДАРЫ";"ПРЫЖКИ";"УНИК. УДАР"},0),L84,L85,L81,L82,L83,0),0))*(1+L87%+CHOOSE(MATCH(LOWER(TRIM(N113)),{"КРИО";"ПИРО";"ЭЛЕКТРО";"ГИДРО";"АНЕМО";"ГЕО";"ДЕНДРО";"ФИЗУХА"}, 0), L76,L73,L75,L74,L78,L77,L79,L80)%+CHOOSE(MATCH(LOWER(TRIM(S113)),{"ЕШКА";"УЛЬТА";"ОБ. УДАРЫ";"ЗАР. УДАРЫ";"ПРЫЖКИ";"УНИК. УДАР"},0),J84%,J85%,J86%,J87%,J88%,0))*(1+J76%)*(1-CHOOSE(MATCH(LOWER(TRIM(N113)),{"КРИО";"ПИРО";"ЭЛЕКТРО";"ГИДРО";"АНЕМО";"ГЕО";"ДЕНДРО";"ФИЗУХА"}, 0), C83,C80,C82,C81,E81,E82,E80,E83)%)*(D79),0)</f>
        <v>0</v>
      </c>
      <c r="L113" s="1031">
        <f t="array" ref="L113">ROUND((CHOOSE(MATCH(LOWER(TRIM(M113)),{"СА";"СА+ХП";"СА+МС";"СА+ЗЩ";"ХП";"ЗЩ"}, 0), J74,J74,J74,J74,J78,J79)*Q113%+CHOOSE(MATCH(LOWER(TRIM(M113)),{"СА";"СА+ХП";"СА+МС";"СА+ЗЩ";"ХП";"ЗЩ"}, 0), 0,J78,J75,J79,0,0)*R113%+IF(L32=TRUE,L86+CHOOSE(MATCH(LOWER(TRIM(S113)),{"ЕШКА";"УЛЬТА";"ОБ. УДАРЫ";"ЗАР. УДАРЫ";"ПРЫЖКИ";"УНИК. УДАР"},0),L84,L85,L81,L82,L83,0),0)+CHOOSE(MATCH(LOWER(TRIM(J32)),{"ПАР";"ОБ.ПАР";"ТАЯНИЕ";"ОБ.ТАЯНИЕ";"ОБОСТР.";"РАЗРАСТ.";"НЕТ"}, 0), 0,0,0,0,D102,D103,0))*(1+L87%+CHOOSE(MATCH(LOWER(TRIM(N113)),{"КРИО";"ПИРО";"ЭЛЕКТРО";"ГИДРО";"АНЕМО";"ГЕО";"ДЕНДРО";"ФИЗУХА"}, 0), L76,L73,L75,L74,L78,L77,L79,L80)%+CHOOSE(MATCH(LOWER(TRIM(S113)),{"ЕШКА";"УЛЬТА";"ОБ. УДАРЫ";"ЗАР. УДАРЫ";"ПРЫЖКИ";"УНИК. УДАР"},0),J84%,J85%,J86%,J87%,J88%,0))*(1+(J76%+CHOOSE(MATCH(LOWER(TRIM(S113)),{"ЕШКА";"УЛЬТА";"ОБ. УДАРЫ";"ЗАР. УДАРЫ";"ПРЫЖКИ";"УНИК. УДАР"},0),J91,J92,J89,J90,J93,0)%)*MIN((J77%+CHOOSE(MATCH(LOWER(TRIM(S113)),{"ЕШКА";"УЛЬТА";"ОБ. УДАРЫ";"ЗАР. УДАРЫ";"ПРЫЖКИ";"УНИК. УДАР"},0),L90,L91,L88,L89,L92,0)%),100%))*(1-CHOOSE(MATCH(LOWER(TRIM(N113)),{"КРИО";"ПИРО";"ЭЛЕКТРО";"ГИДРО";"АНЕМО";"ГЕО";"ДЕНДРО";"ФИЗУХА"}, 0), C83,C80,C82,C81,E81,E82,E80,E83)%)*(D79),0)</f>
        <v>0</v>
      </c>
      <c r="M113" s="629" t="s">
        <v>125</v>
      </c>
      <c r="N113" s="1021" t="s">
        <v>1877</v>
      </c>
      <c r="P113" s="627" t="str">
        <f t="shared" si="18"/>
        <v>УНИК. УДАР</v>
      </c>
      <c r="Q113" s="1032"/>
      <c r="R113" s="1033"/>
      <c r="S113" s="1024" t="s">
        <v>2157</v>
      </c>
      <c r="T113" s="1025" t="s">
        <v>2143</v>
      </c>
    </row>
    <row r="114" ht="19.5" customHeight="1">
      <c r="B114" s="1014" t="s">
        <v>2036</v>
      </c>
      <c r="C114" s="544"/>
      <c r="D114" s="1035">
        <f t="array" ref="D114">ROUND(2.75*(CHOOSE(MATCH(LOWER(TRIM(B23)),{"УРОВЕНЬ 100";"УРОВЕНЬ 95";"УРОВЕНЬ 90";"УРОВЕНЬ 80"},0),1674.8092,1561.468,1446.85,1077.44)*(1+(16*J75)/(2000+J75)+N82%)*(1-C80%)),0)</f>
        <v>5518</v>
      </c>
      <c r="E114" s="817" t="s">
        <v>14</v>
      </c>
      <c r="F114" s="1016" t="s">
        <v>14</v>
      </c>
      <c r="G114" s="816" t="s">
        <v>14</v>
      </c>
      <c r="H114" s="1018" t="s">
        <v>559</v>
      </c>
      <c r="I114" s="627" t="str">
        <f t="shared" si="17"/>
        <v>УНИК. УДАР</v>
      </c>
      <c r="J114" s="1045">
        <f t="array" ref="J114">ROUND((CHOOSE(MATCH(LOWER(TRIM(M114)),{"СА";"СА+ХП";"СА+МС";"СА+ЗЩ";"ХП";"ЗЩ"}, 0), J74,J74,J74,J74,J78,J79)*Q114%+CHOOSE(MATCH(LOWER(TRIM(M114)),{"СА";"СА+ХП";"СА+МС";"СА+ЗЩ";"ХП";"ЗЩ"}, 0), 0,J78,J75,J79,0,0)*R114%+IF(L31=TRUE,L86+CHOOSE(MATCH(LOWER(TRIM(S114)),{"ЕШКА";"УЛЬТА";"ОБ. УДАРЫ";"ЗАР. УДАРЫ";"ПРЫЖКИ";"УНИК. УДАР"},0),L84,L85,L81,L82,L83,0),0))*(1+L87%+CHOOSE(MATCH(LOWER(TRIM(N114)),{"КРИО";"ПИРО";"ЭЛЕКТРО";"ГИДРО";"АНЕМО";"ГЕО";"ДЕНДРО";"ФИЗУХА"}, 0), L76,L73,L75,L74,L78,L77,L79,L80)%+CHOOSE(MATCH(LOWER(TRIM(S114)),{"ЕШКА";"УЛЬТА";"ОБ. УДАРЫ";"ЗАР. УДАРЫ";"ПРЫЖКИ";"УНИК. УДАР"},0),J84%,J85%,J86%,J87%,J88%,0))*(1-CHOOSE(MATCH(LOWER(TRIM(N114)),{"КРИО";"ПИРО";"ЭЛЕКТРО";"ГИДРО";"АНЕМО";"ГЕО";"ДЕНДРО";"ФИЗУХА"}, 0), C83,C80,C82,C81,E81,E82,E80,E83)%)*(D79),0)</f>
        <v>0</v>
      </c>
      <c r="K114" s="1020">
        <f t="array" ref="K114">ROUND((CHOOSE(MATCH(LOWER(TRIM(M114)),{"СА";"СА+ХП";"СА+МС";"СА+ЗЩ";"ХП";"ЗЩ"}, 0), J74,J74,J74,J74,J78,J79)*Q114%+CHOOSE(MATCH(LOWER(TRIM(M114)),{"СА";"СА+ХП";"СА+МС";"СА+ЗЩ";"ХП";"ЗЩ"}, 0), 0,J78,J75,J79,0,0)*R114%+IF(L32=TRUE,L86+CHOOSE(MATCH(LOWER(TRIM(S114)),{"ЕШКА";"УЛЬТА";"ОБ. УДАРЫ";"ЗАР. УДАРЫ";"ПРЫЖКИ";"УНИК. УДАР"},0),L84,L85,L81,L82,L83,0),0))*(1+L87%+CHOOSE(MATCH(LOWER(TRIM(N114)),{"КРИО";"ПИРО";"ЭЛЕКТРО";"ГИДРО";"АНЕМО";"ГЕО";"ДЕНДРО";"ФИЗУХА"}, 0), L76,L73,L75,L74,L78,L77,L79,L80)%+CHOOSE(MATCH(LOWER(TRIM(S114)),{"ЕШКА";"УЛЬТА";"ОБ. УДАРЫ";"ЗАР. УДАРЫ";"ПРЫЖКИ";"УНИК. УДАР"},0),J84%,J85%,J86%,J87%,J88%,0))*(1+J76%)*(1-CHOOSE(MATCH(LOWER(TRIM(N114)),{"КРИО";"ПИРО";"ЭЛЕКТРО";"ГИДРО";"АНЕМО";"ГЕО";"ДЕНДРО";"ФИЗУХА"}, 0), C83,C80,C82,C81,E81,E82,E80,E83)%)*(D79),0)</f>
        <v>0</v>
      </c>
      <c r="L114" s="1020">
        <f t="array" ref="L114">ROUND((CHOOSE(MATCH(LOWER(TRIM(M114)),{"СА";"СА+ХП";"СА+МС";"СА+ЗЩ";"ХП";"ЗЩ"}, 0), J74,J74,J74,J74,J78,J79)*Q114%+CHOOSE(MATCH(LOWER(TRIM(M114)),{"СА";"СА+ХП";"СА+МС";"СА+ЗЩ";"ХП";"ЗЩ"}, 0), 0,J78,J75,J79,0,0)*R114%+IF(L32=TRUE,L86+CHOOSE(MATCH(LOWER(TRIM(S114)),{"ЕШКА";"УЛЬТА";"ОБ. УДАРЫ";"ЗАР. УДАРЫ";"ПРЫЖКИ";"УНИК. УДАР"},0),L84,L85,L81,L82,L83,0),0)+CHOOSE(MATCH(LOWER(TRIM(J32)),{"ПАР";"ОБ.ПАР";"ТАЯНИЕ";"ОБ.ТАЯНИЕ";"ОБОСТР.";"РАЗРАСТ.";"НЕТ"}, 0), 0,0,0,0,D102,D103,0))*(1+L87%+CHOOSE(MATCH(LOWER(TRIM(N114)),{"КРИО";"ПИРО";"ЭЛЕКТРО";"ГИДРО";"АНЕМО";"ГЕО";"ДЕНДРО";"ФИЗУХА"}, 0), L76,L73,L75,L74,L78,L77,L79,L80)%+CHOOSE(MATCH(LOWER(TRIM(S114)),{"ЕШКА";"УЛЬТА";"ОБ. УДАРЫ";"ЗАР. УДАРЫ";"ПРЫЖКИ";"УНИК. УДАР"},0),J84%,J85%,J86%,J87%,J88%,0))*(1+(J76%+CHOOSE(MATCH(LOWER(TRIM(S114)),{"ЕШКА";"УЛЬТА";"ОБ. УДАРЫ";"ЗАР. УДАРЫ";"ПРЫЖКИ";"УНИК. УДАР"},0),J91,J92,J89,J90,J93,0)%)*MIN((J77%+CHOOSE(MATCH(LOWER(TRIM(S114)),{"ЕШКА";"УЛЬТА";"ОБ. УДАРЫ";"ЗАР. УДАРЫ";"ПРЫЖКИ";"УНИК. УДАР"},0),L90,L91,L88,L89,L92,0)%),100%))*(1-CHOOSE(MATCH(LOWER(TRIM(N114)),{"КРИО";"ПИРО";"ЭЛЕКТРО";"ГИДРО";"АНЕМО";"ГЕО";"ДЕНДРО";"ФИЗУХА"}, 0), C83,C80,C82,C81,E81,E82,E80,E83)%)*(D79),0)</f>
        <v>0</v>
      </c>
      <c r="M114" s="629" t="s">
        <v>125</v>
      </c>
      <c r="N114" s="1021" t="s">
        <v>1877</v>
      </c>
      <c r="P114" s="627" t="str">
        <f t="shared" si="18"/>
        <v>УНИК. УДАР</v>
      </c>
      <c r="Q114" s="1022"/>
      <c r="R114" s="1023"/>
      <c r="S114" s="1024" t="s">
        <v>2157</v>
      </c>
      <c r="T114" s="1025" t="s">
        <v>2143</v>
      </c>
    </row>
    <row r="115" ht="19.5" customHeight="1">
      <c r="B115" s="1026" t="s">
        <v>2038</v>
      </c>
      <c r="C115" s="544"/>
      <c r="D115" s="1036">
        <f t="array" ref="D115">ROUND((0.25*(CHOOSE(MATCH(LOWER(TRIM(B23)),{"УРОВЕНЬ 100";"УРОВЕНЬ 95";"УРОВЕНЬ 90";"УРОВЕНЬ 80"},0),1674.8092,1561.468,1446.85,1077.44)*(1+(16*J75)/(2000+J75)+N83%)*(1-C80%))),0)</f>
        <v>502</v>
      </c>
      <c r="E115" s="630" t="s">
        <v>14</v>
      </c>
      <c r="F115" s="573" t="s">
        <v>14</v>
      </c>
      <c r="G115" s="629" t="s">
        <v>14</v>
      </c>
      <c r="H115" s="1029" t="s">
        <v>559</v>
      </c>
      <c r="I115" s="627" t="str">
        <f t="shared" si="17"/>
        <v>УНИК. УДАР</v>
      </c>
      <c r="J115" s="1030">
        <f t="array" ref="J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*(1-CHOOSE(MATCH(LOWER(TRIM(N115)),{"КРИО";"ПИРО";"ЭЛЕКТРО";"ГИДРО";"АНЕМО";"ГЕО";"ДЕНДРО";"ФИЗУХА"}, 0), C83,C80,C82,C81,E81,E82,E80,E83)%)*(D79),0)</f>
        <v>0</v>
      </c>
      <c r="K115" s="1031">
        <f t="array" ref="K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*(1+J76%)*(1-CHOOSE(MATCH(LOWER(TRIM(N115)),{"КРИО";"ПИРО";"ЭЛЕКТРО";"ГИДРО";"АНЕМО";"ГЕО";"ДЕНДРО";"ФИЗУХА"}, 0), C83,C80,C82,C81,E81,E82,E80,E83)%)*(D79),0)</f>
        <v>0</v>
      </c>
      <c r="L115" s="1031">
        <f t="array" ref="L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CHOOSE(MATCH(LOWER(TRIM(J36)),{"ПАР";"ОБ.ПАР";"ТАЯНИЕ";"ОБ.ТАЯНИЕ";"ОБОСТР.";"РАЗРАСТ.";"НЕТ"}, 0), 0,0,0,0,D102,D103,0))
*(1+L87%+CHOOSE(MATCH(LOWER(TRIM(N115)),{"КРИО";"ПИРО";"ЭЛЕКТРО";"ГИДРО";"АНЕМО";"ГЕО";"ДЕНДРО";"ФИЗУХА"}, 0), L76,L73,L75,L74,L78,L77,L79,L80)%+CHOOSE(MATCH(LOWER(TRIM(S115)),{"ЕШКА";"УЛЬТА";"ОБ. УДАРЫ";"ЗАР. УДАРЫ";"ПРЫЖКИ";"УНИК. УДАР"},0),J84%,J85%,J86%,J87%,J88%,0))
*(1+(J76%+CHOOSE(MATCH(LOWER(TRIM(S115)),{"ЕШКА";"УЛЬТА";"ОБ. УДАРЫ";"ЗАР. УДАРЫ";"ПРЫЖКИ";"УНИК. УДАР"},0),J91,J92,J89,J90,J93,0)%)*MIN((J77%+CHOOSE(MATCH(LOWER(TRIM(S115)),{"ЕШКА";"УЛЬТА";"ОБ. УДАРЫ";"ЗАР. УДАРЫ";"ПРЫЖКИ";"УНИК. УДАР"},0),L90,L91,L88,L89,L92,0)%),100%))*(1-CHOOSE(MATCH(LOWER(TRIM(N115)),{"КРИО";"ПИРО";"ЭЛЕКТРО";"ГИДРО";"АНЕМО";"ГЕО";"ДЕНДРО";"ФИЗУХА"}, 0), C83,C80,C82,C81,E81,E82,E80,E83)%)*(D79),0)</f>
        <v>0</v>
      </c>
      <c r="M115" s="629" t="s">
        <v>125</v>
      </c>
      <c r="N115" s="1021" t="s">
        <v>1877</v>
      </c>
      <c r="P115" s="627" t="str">
        <f t="shared" si="18"/>
        <v>УНИК. УДАР</v>
      </c>
      <c r="Q115" s="1032"/>
      <c r="R115" s="1033"/>
      <c r="S115" s="1024" t="s">
        <v>2157</v>
      </c>
      <c r="T115" s="1025" t="s">
        <v>2143</v>
      </c>
    </row>
    <row r="116" ht="19.5" customHeight="1">
      <c r="B116" s="1026" t="s">
        <v>2162</v>
      </c>
      <c r="C116" s="544"/>
      <c r="D116" s="1035">
        <f t="array" ref="D116">ROUND(0.6*(CHOOSE(MATCH(LOWER(TRIM(B23)),{"УРОВЕНЬ 100";"УРОВЕНЬ 95";"УРОВЕНЬ 90";"УРОВЕНЬ 80"},0),1674.8092,1561.468,1446.85,1077.44)*(1+(16*J75)/(2000+J75)+N84%)*(1-CHOOSE(MATCH(LOWER(TRIM(H116)),{"🔥ПИРО";"💧ГИДРО";"⚡️ЭЛЕКТРО";"❄️КРИО"},0),C80%,C81%,C82%,C83%))),0)</f>
        <v>1204</v>
      </c>
      <c r="E116" s="1042">
        <f t="array" ref="E116">ROUND(0.6*(CHOOSE(MATCH(LOWER(TRIM(B23)),{"УРОВЕНЬ 100";"УРОВЕНЬ 95";"УРОВЕНЬ 90";"УРОВЕНЬ 80"},0),1674.8092,1561.468,1446.85,1077.44)*(1+(16*J75)/(2000+J75)+N84%)*(1-CHOOSE(MATCH(LOWER(TRIM(H116)),{"🔥ПИРО";"💧ГИДРО";"⚡️ЭЛЕКТРО";"❄️КРИО"},0),C80%,C81%,C82%,C83%)))*CHOOSE(MATCH(LOWER(TRIM(B116)),{"РАССЕИВАНИЕ 1";"РАССЕИВ. + С6"},0), 1,2),0)</f>
        <v>1204</v>
      </c>
      <c r="F116" s="1043">
        <f t="array" ref="F116">ROUND(0.6*(CHOOSE(MATCH(LOWER(TRIM(B23)),{"УРОВЕНЬ 100";"УРОВЕНЬ 95";"УРОВЕНЬ 90";"УРОВЕНЬ 80"},0),1674.8092,1561.468,1446.85,,1077.44)*(1+(16*J75)/(2000+J75)+N84%)*(1-CHOOSE(MATCH(LOWER(TRIM(H116)),{"🔥ПИРО";"💧ГИДРО";"⚡️ЭЛЕКТРО";"❄️КРИО"},0),C80%,C81%,C82%,C83%)))*CHOOSE(MATCH(LOWER(TRIM(B116)),{"РАССЕИВАНИЕ 1";"РАССЕИВ. + С6"},0), 1,1.3),0)</f>
        <v>1204</v>
      </c>
      <c r="G116" s="816" t="s">
        <v>14</v>
      </c>
      <c r="H116" s="1029" t="s">
        <v>2163</v>
      </c>
      <c r="I116" s="627" t="str">
        <f t="shared" si="17"/>
        <v>УНИК. УДАР</v>
      </c>
      <c r="J116" s="1034">
        <f t="array" ref="J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*(1-CHOOSE(MATCH(LOWER(TRIM(N116)),{"КРИО";"ПИРО";"ЭЛЕКТРО";"ГИДРО";"АНЕМО";"ГЕО";"ДЕНДРО";"ФИЗУХА"}, 0), C83,C80,C82,C81,E81,E82,E80,E83)%)*(D79),0)</f>
        <v>0</v>
      </c>
      <c r="K116" s="1020">
        <f t="array" ref="K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*(1+J76%)*(1-CHOOSE(MATCH(LOWER(TRIM(N116)),{"КРИО";"ПИРО";"ЭЛЕКТРО";"ГИДРО";"АНЕМО";"ГЕО";"ДЕНДРО";"ФИЗУХА"}, 0), C83,C80,C82,C81,E81,E82,E80,E83)%)*(D79),0)</f>
        <v>0</v>
      </c>
      <c r="L116" s="1020">
        <f t="array" ref="L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CHOOSE(MATCH(LOWER(TRIM(J37)),{"ПАР";"ОБ.ПАР";"ТАЯНИЕ";"ОБ.ТАЯНИЕ";"ОБОСТР.";"РАЗРАСТ.";"НЕТ"}, 0), 0,0,0,0,D102,D103,0))
*(1+L87%+CHOOSE(MATCH(LOWER(TRIM(N116)),{"КРИО";"ПИРО";"ЭЛЕКТРО";"ГИДРО";"АНЕМО";"ГЕО";"ДЕНДРО";"ФИЗУХА"}, 0), L76,L73,L75,L74,L78,L77,L79,L80)%+CHOOSE(MATCH(LOWER(TRIM(S116)),{"ЕШКА";"УЛЬТА";"ОБ. УДАРЫ";"ЗАР. УДАРЫ";"ПРЫЖКИ";"УНИК. УДАР"},0),J84%,J85%,J86%,J87%,J88%,0))
*(1+(J76%+CHOOSE(MATCH(LOWER(TRIM(S116)),{"ЕШКА";"УЛЬТА";"ОБ. УДАРЫ";"ЗАР. УДАРЫ";"ПРЫЖКИ";"УНИК. УДАР"},0),J91,J92,J89,J90,J93,0)%)*MIN((J77%+CHOOSE(MATCH(LOWER(TRIM(S116)),{"ЕШКА";"УЛЬТА";"ОБ. УДАРЫ";"ЗАР. УДАРЫ";"ПРЫЖКИ";"УНИК. УДАР"},0),L90,L91,L88,L89,L92,0)%),100%))*(1-CHOOSE(MATCH(LOWER(TRIM(N116)),{"КРИО";"ПИРО";"ЭЛЕКТРО";"ГИДРО";"АНЕМО";"ГЕО";"ДЕНДРО";"ФИЗУХА"}, 0), C83,C80,C82,C81,E81,E82,E80,E83)%)*(D79),0)</f>
        <v>0</v>
      </c>
      <c r="M116" s="629" t="s">
        <v>125</v>
      </c>
      <c r="N116" s="1021" t="s">
        <v>1877</v>
      </c>
      <c r="P116" s="627" t="str">
        <f t="shared" si="18"/>
        <v>УНИК. УДАР</v>
      </c>
      <c r="Q116" s="1022"/>
      <c r="R116" s="1023"/>
      <c r="S116" s="1024" t="s">
        <v>2157</v>
      </c>
      <c r="T116" s="1025" t="s">
        <v>2143</v>
      </c>
    </row>
    <row r="117" ht="19.5" customHeight="1">
      <c r="B117" s="1026" t="s">
        <v>2164</v>
      </c>
      <c r="C117" s="544"/>
      <c r="D117" s="1036">
        <f t="array" ref="D117">ROUND(0.6*(CHOOSE(MATCH(LOWER(TRIM(B23)),{"УРОВЕНЬ 100";"УРОВЕНЬ 95";"УРОВЕНЬ 90";"УРОВЕНЬ 80"},0),1674.8092,1561.468,1446.85,1077.44)*(1+(16*J75)/(2000+J75)+N84%)*(1-CHOOSE(MATCH(LOWER(TRIM(H117)),{"🔥ПИРО";"💧ГИДРО";"⚡️ЭЛЕКТРО";"❄️КРИО"},0),C80%,C81%,C82%,C83%))),0)</f>
        <v>1204</v>
      </c>
      <c r="E117" s="628">
        <f t="array" ref="E117">ROUND(0.6*(CHOOSE(MATCH(LOWER(TRIM(B23)),{"УРОВЕНЬ 100";"УРОВЕНЬ 95";"УРОВЕНЬ 90";"УРОВЕНЬ 80"},0),1674.8092,1561.468,1446.85,1077.44)*(1+(16*J75)/(2000+J75)+N84%)*(1-CHOOSE(MATCH(LOWER(TRIM(H117)),{"🔥ПИРО";"💧ГИДРО";"⚡️ЭЛЕКТРО";"❄️КРИО"},0),C80%,C81%,C82%,C83%)))*CHOOSE(MATCH(LOWER(TRIM(B117)),{"РАССЕИВАНИЕ 2";"РАССЕИВ. + С6"},0),1,2),0)</f>
        <v>1204</v>
      </c>
      <c r="F117" s="1044">
        <f t="array" ref="F117">ROUND(0.6*(CHOOSE(MATCH(LOWER(TRIM(B23)),{"УРОВЕНЬ 100";"УРОВЕНЬ 95";"УРОВЕНЬ 90";"УРОВЕНЬ 80"},0),1674.8092,1561.468,1446.85,1077.44)*(1+(16*J75)/(2000+J75)+N84%)*(1-CHOOSE(MATCH(LOWER(TRIM(H117)),{"🔥ПИРО";"💧ГИДРО";"⚡️ЭЛЕКТРО";"❄️КРИО"},0),C80%,C81%,C82%,C83%)))*CHOOSE(MATCH(LOWER(TRIM(B117)),{"РАССЕИВАНИЕ 2";"РАССЕИВ. + С6"},0),1,1.3),0)</f>
        <v>1204</v>
      </c>
      <c r="G117" s="629" t="s">
        <v>14</v>
      </c>
      <c r="H117" s="1029" t="s">
        <v>2165</v>
      </c>
      <c r="I117" s="627" t="str">
        <f t="shared" si="17"/>
        <v>УНИК. УДАР</v>
      </c>
      <c r="J117" s="1030">
        <f t="array" ref="J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*(1-CHOOSE(MATCH(LOWER(TRIM(N117)),{"КРИО";"ПИРО";"ЭЛЕКТРО";"ГИДРО";"АНЕМО";"ГЕО";"ДЕНДРО";"ФИЗУХА"}, 0), C83,C80,C82,C81,E81,E82,E80,E83)%)*(D79),0)</f>
        <v>0</v>
      </c>
      <c r="K117" s="1031">
        <f t="array" ref="K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*(1+J76%)*(1-CHOOSE(MATCH(LOWER(TRIM(N117)),{"КРИО";"ПИРО";"ЭЛЕКТРО";"ГИДРО";"АНЕМО";"ГЕО";"ДЕНДРО";"ФИЗУХА"}, 0), C83,C80,C82,C81,E81,E82,E80,E83)%)*(D79),0)</f>
        <v>0</v>
      </c>
      <c r="L117" s="1031">
        <f t="array" ref="L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CHOOSE(MATCH(LOWER(TRIM(J38)),{"ПАР";"ОБ.ПАР";"ТАЯНИЕ";"ОБ.ТАЯНИЕ";"ОБОСТР.";"РАЗРАСТ.";"НЕТ"}, 0), 0,0,0,0,D102,D103,0))
*(1+L87%+CHOOSE(MATCH(LOWER(TRIM(N117)),{"КРИО";"ПИРО";"ЭЛЕКТРО";"ГИДРО";"АНЕМО";"ГЕО";"ДЕНДРО";"ФИЗУХА"}, 0), L76,L73,L75,L74,L78,L77,L79,L80)%+CHOOSE(MATCH(LOWER(TRIM(S117)),{"ЕШКА";"УЛЬТА";"ОБ. УДАРЫ";"ЗАР. УДАРЫ";"ПРЫЖКИ";"УНИК. УДАР"},0),J84%,J85%,J86%,J87%,J88%,0))
*(1+(J76%+CHOOSE(MATCH(LOWER(TRIM(S117)),{"ЕШКА";"УЛЬТА";"ОБ. УДАРЫ";"ЗАР. УДАРЫ";"ПРЫЖКИ";"УНИК. УДАР"},0),J91,J92,J89,J90,J93,0)%)*MIN((J77%+CHOOSE(MATCH(LOWER(TRIM(S117)),{"ЕШКА";"УЛЬТА";"ОБ. УДАРЫ";"ЗАР. УДАРЫ";"ПРЫЖКИ";"УНИК. УДАР"},0),L90,L91,L88,L89,L92,0)%),100%))*(1-CHOOSE(MATCH(LOWER(TRIM(N117)),{"КРИО";"ПИРО";"ЭЛЕКТРО";"ГИДРО";"АНЕМО";"ГЕО";"ДЕНДРО";"ФИЗУХА"}, 0), C83,C80,C82,C81,E81,E82,E80,E83)%)*(D79),0)</f>
        <v>0</v>
      </c>
      <c r="M117" s="629" t="s">
        <v>125</v>
      </c>
      <c r="N117" s="1021" t="s">
        <v>1877</v>
      </c>
      <c r="P117" s="627" t="str">
        <f t="shared" si="18"/>
        <v>УНИК. УДАР</v>
      </c>
      <c r="Q117" s="1032"/>
      <c r="R117" s="1033"/>
      <c r="S117" s="1024" t="s">
        <v>2157</v>
      </c>
      <c r="T117" s="1025" t="s">
        <v>2143</v>
      </c>
    </row>
    <row r="118" ht="19.5" customHeight="1">
      <c r="B118" s="1014" t="s">
        <v>2046</v>
      </c>
      <c r="C118" s="544"/>
      <c r="D118" s="1035">
        <f t="array" ref="D118">ROUND(3*(CHOOSE(MATCH(LOWER(TRIM(B23)),{"УРОВЕНЬ 100";"УРОВЕНЬ 95";"УРОВЕНЬ 90";"УРОВЕНЬ 80"},0),1674.8092,1561.468,1446.85,1077.44)*(1+(16*J75)/(2000+J75)+N85%)*(1-E83%)),0)</f>
        <v>6020</v>
      </c>
      <c r="E118" s="817" t="s">
        <v>14</v>
      </c>
      <c r="F118" s="1016" t="s">
        <v>14</v>
      </c>
      <c r="G118" s="816" t="s">
        <v>14</v>
      </c>
      <c r="H118" s="1018" t="s">
        <v>2166</v>
      </c>
      <c r="I118" s="627" t="str">
        <f t="shared" si="17"/>
        <v>УНИК. УДАР</v>
      </c>
      <c r="J118" s="1034">
        <f t="array" ref="J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*(1-CHOOSE(MATCH(LOWER(TRIM(N118)),{"КРИО";"ПИРО";"ЭЛЕКТРО";"ГИДРО";"АНЕМО";"ГЕО";"ДЕНДРО";"ФИЗУХА"}, 0), C83,C80,C82,C81,E81,E82,E80,E83)%)*(D79),0)</f>
        <v>0</v>
      </c>
      <c r="K118" s="1020">
        <f t="array" ref="K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*(1+J76%)*(1-CHOOSE(MATCH(LOWER(TRIM(N118)),{"КРИО";"ПИРО";"ЭЛЕКТРО";"ГИДРО";"АНЕМО";"ГЕО";"ДЕНДРО";"ФИЗУХА"}, 0), C83,C80,C82,C81,E81,E82,E80,E83)%)*(D79),0)</f>
        <v>0</v>
      </c>
      <c r="L118" s="1020">
        <f t="array" ref="L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+CHOOSE(MATCH(LOWER(TRIM(J39)),{"ПАР";"ОБ.ПАР";"ТАЯНИЕ";"ОБ.ТАЯНИЕ";"ОБОСТР.";"РАЗРАСТ.";"НЕТ"}, 0), 0,0,0,0,D102,D103,0))
*(1+L87%+CHOOSE(MATCH(LOWER(TRIM(N118)),{"КРИО";"ПИРО";"ЭЛЕКТРО";"ГИДРО";"АНЕМО";"ГЕО";"ДЕНДРО";"ФИЗУХА"},0), L76,L73,L75,L74,L78,L77,L79,L80)%+CHOOSE(MATCH(LOWER(TRIM(S118)),{"ЕШКА";"УЛЬТА";"ОБ. УДАРЫ";"ЗАР. УДАРЫ";"ПРЫЖКИ";"УНИК. УДАР"},0), J84%,J85%,J86%,J87%,J88%,0))
*(1+(J76%+CHOOSE(MATCH(LOWER(TRIM(S118)),{"ЕШКА";"УЛЬТА";"ОБ. УДАРЫ";"ЗАР. УДАРЫ";"ПРЫЖКИ";"УНИК. УДАР"},0),J91,J92,J89,J90,J93,0)%)*MIN((J77%+CHOOSE(MATCH(LOWER(TRIM(S118)),{"ЕШКА";"УЛЬТА";"ОБ. УДАРЫ";"ЗАР. УДАРЫ";"ПРЫЖКИ";"УНИК. УДАР"},0),L90,L91,L88,L89,L92,0)%),100%))*(1-CHOOSE(MATCH(LOWER(TRIM(N118)),{"КРИО";"ПИРО";"ЭЛЕКТРО";"ГИДРО";"АНЕМО";"ГЕО";"ДЕНДРО";"ФИЗУХА"},0), C83,C80,C82,C81,E81,E82,E80,E83)%)*(D79),0)</f>
        <v>0</v>
      </c>
      <c r="M118" s="629" t="s">
        <v>125</v>
      </c>
      <c r="N118" s="1021" t="s">
        <v>1877</v>
      </c>
      <c r="P118" s="627" t="str">
        <f t="shared" si="18"/>
        <v>УНИК. УДАР</v>
      </c>
      <c r="Q118" s="1022"/>
      <c r="R118" s="1023"/>
      <c r="S118" s="1024" t="s">
        <v>2157</v>
      </c>
      <c r="T118" s="1025" t="s">
        <v>2143</v>
      </c>
    </row>
    <row r="119" ht="19.5" customHeight="1">
      <c r="B119" s="1026" t="s">
        <v>2167</v>
      </c>
      <c r="C119" s="544"/>
      <c r="D119" s="1036">
        <f t="array" ref="D119">ROUND(1.5*(CHOOSE(MATCH(LOWER(TRIM(B23)),{"УРОВЕНЬ 100";"УРОВЕНЬ 95";"УРОВЕНЬ 90";"УРОВЕНЬ 80"},0),1674.8092,1561.468,1446.85,1077.44)*(1+(16*J75)/(2000+J75)+N86%)*(1-C83%)),0)</f>
        <v>3010</v>
      </c>
      <c r="E119" s="630" t="s">
        <v>14</v>
      </c>
      <c r="F119" s="573" t="s">
        <v>14</v>
      </c>
      <c r="G119" s="629" t="s">
        <v>14</v>
      </c>
      <c r="H119" s="1029" t="s">
        <v>567</v>
      </c>
      <c r="I119" s="627" t="str">
        <f t="shared" si="17"/>
        <v>УНИК. УДАР</v>
      </c>
      <c r="J119" s="1030">
        <f t="array" ref="J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*(1-CHOOSE(MATCH(LOWER(TRIM(N119)),{"КРИО";"ПИРО";"ЭЛЕКТРО";"ГИДРО";"АНЕМО";"ГЕО";"ДЕНДРО";"ФИЗУХА"}, 0), C83,C80,C82,C81,E81,E82,E80,E83)%)*(D79),0)</f>
        <v>0</v>
      </c>
      <c r="K119" s="1031">
        <f t="array" ref="K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*(1+J76%)*(1-CHOOSE(MATCH(LOWER(TRIM(N119)),{"КРИО";"ПИРО";"ЭЛЕКТРО";"ГИДРО";"АНЕМО";"ГЕО";"ДЕНДРО";"ФИЗУХА"}, 0), C83,C80,C82,C81,E81,E82,E80,E83)%)*(D79),0)</f>
        <v>0</v>
      </c>
      <c r="L119" s="1031">
        <f t="array" ref="L119">ROUND((CHOOSE(MATCH(LOWER(TRIM(M119)),{"СА";"СА+ХП";"СА+МС";"СА+ЗЩ";"ХП";"ЗЩ"},0), J74,J74,J74,J74,J78,J79)*Q119%
+CHOOSE(MATCH(LOWER(TRIM(M119)),{"СА";"СА+ХП";"СА+МС";"СА+ЗЩ";"ХП";"ЗЩ"},0), 0,J78,J75,J79,0,0)*R119%+IF(L40=TRUE,L86+CHOOSE(MATCH(LOWER(TRIM(S119)),{"ЕШКА";"УЛЬТА";"ОБ. УДАРЫ";"ЗАР. УДАРЫ";"ПРЫЖКИ";"УНИК. УДАР"},0),L84,L85,L81,L82,L83,0),0)
+CHOOSE(MATCH(LOWER(TRIM(J40)),{"ПАР";"ОБ.ПАР";"ТАЯНИЕ";"ОБ.ТАЯНИЕ";"ОБОСТР.";"РАЗРАСТ.";"НЕТ"},0), 0,0,0,0,D102,D103,0))
*(1+L87%+CHOOSE(MATCH(LOWER(TRIM(N119)),{"КРИО";"ПИРО";"ЭЛЕКТРО";"ГИДРО";"АНЕМО";"ГЕО";"ДЕНДРО";"ФИЗУХА"},0), L76,L73,L75,L74,L78,L77,L79,L80)%+CHOOSE(MATCH(LOWER(TRIM(S119)),{"ЕШКА";"УЛЬТА";"ОБ. УДАРЫ";"ЗАР. УДАРЫ";"ПРЫЖКИ";"УНИК. УДАР"},0), J84%,J85%,J86%,J87%,J88%,0))
*(1+(J76%+CHOOSE(MATCH(LOWER(TRIM(S119)),{"ЕШКА";"УЛЬТА";"ОБ. УДАРЫ";"ЗАР. УДАРЫ";"ПРЫЖКИ";"УНИК. УДАР"},0),J91,J92,J89,J90,J93,0)%)*MIN((J77%+CHOOSE(MATCH(LOWER(TRIM(S119)),{"ЕШКА";"УЛЬТА";"ОБ. УДАРЫ";"ЗАР. УДАРЫ";"ПРЫЖКИ";"УНИК. УДАР"},0),L90,L91,L88,L89,L92,0)%),100%))*(1-CHOOSE(MATCH(LOWER(TRIM(N119)),{"КРИО";"ПИРО";"ЭЛЕКТРО";"ГИДРО";"АНЕМО";"ГЕО";"ДЕНДРО";"ФИЗУХА"},0), C83,C80,C82,C81,E81,E82,E80,E83)%)*(D79),0)</f>
        <v>0</v>
      </c>
      <c r="M119" s="629" t="s">
        <v>125</v>
      </c>
      <c r="N119" s="1021" t="s">
        <v>1877</v>
      </c>
      <c r="P119" s="627" t="str">
        <f t="shared" si="18"/>
        <v>УНИК. УДАР</v>
      </c>
      <c r="Q119" s="1032"/>
      <c r="R119" s="1033"/>
      <c r="S119" s="1024" t="s">
        <v>2157</v>
      </c>
      <c r="T119" s="1025" t="s">
        <v>2143</v>
      </c>
    </row>
    <row r="120" ht="19.5" customHeight="1">
      <c r="B120" s="1046" t="s">
        <v>2168</v>
      </c>
      <c r="C120" s="1047"/>
      <c r="D120" s="1048">
        <f t="array" ref="D120">ROUND(((CHOOSE(MATCH(LOWER(TRIM(B23)),{"УРОВЕНЬ 100";"УРОВЕНЬ 95";"УРОВЕНЬ 90";"УРОВЕНЬ 80"},0),2143.46,1997.23,1851,1597)+(CHOOSE(MATCH(LOWER(TRIM(B23)),{"УРОВЕНЬ 100";"УРОВЕНЬ 95";"УРОВЕНЬ 90";"УРОВЕНЬ 80"},0),2143.46,1997.23,1851,1597)*(4.44*(J75/(1400+J75)))))*(1+J83%)),0)</f>
        <v>2579</v>
      </c>
      <c r="E120" s="1049" t="s">
        <v>14</v>
      </c>
      <c r="F120" s="1050" t="s">
        <v>14</v>
      </c>
      <c r="G120" s="1051" t="s">
        <v>14</v>
      </c>
      <c r="H120" s="1052" t="s">
        <v>2169</v>
      </c>
      <c r="I120" s="627" t="str">
        <f t="shared" si="17"/>
        <v>УНИК. УДАР</v>
      </c>
      <c r="J120" s="1034">
        <f t="array" ref="J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*(1-CHOOSE(MATCH(LOWER(TRIM(N120)),{"КРИО";"ПИРО";"ЭЛЕКТРО";"ГИДРО";"АНЕМО";"ГЕО";"ДЕНДРО";"ФИЗУХА"}, 0), C83,C80,C82,C81,E81,E82,E80,E83)%)*(D79),0)</f>
        <v>0</v>
      </c>
      <c r="K120" s="1020">
        <f t="array" ref="K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*(1+J76%)*(1-CHOOSE(MATCH(LOWER(TRIM(N120)),{"КРИО";"ПИРО";"ЭЛЕКТРО";"ГИДРО";"АНЕМО";"ГЕО";"ДЕНДРО";"ФИЗУХА"}, 0), C83,C80,C82,C81,E81,E82,E80,E83)%)*(D79),0)</f>
        <v>0</v>
      </c>
      <c r="L120" s="1020">
        <f t="array" ref="L120">ROUND((CHOOSE(MATCH(LOWER(TRIM(M120)),{"СА";"СА+ХП";"СА+МС";"СА+ЗЩ";"ХП";"ЗЩ"},0), J74,J74,J74,J74,J78,J79)*Q120%
+CHOOSE(MATCH(LOWER(TRIM(M120)),{"СА";"СА+ХП";"СА+МС";"СА+ЗЩ";"ХП";"ЗЩ"},0), 0,J78,J75,J79,0,0)*R120%+IF(L41=TRUE,L86+CHOOSE(MATCH(LOWER(TRIM(S120)),{"ЕШКА";"УЛЬТА";"ОБ. УДАРЫ";"ЗАР. УДАРЫ";"ПРЫЖКИ";"УНИК. УДАР"},0),L84,L85,L81,L82,L83,0),0)
+CHOOSE(MATCH(LOWER(TRIM(J41)),{"ПАР";"ОБ.ПАР";"ТАЯНИЕ";"ОБ.ТАЯНИЕ";"ОБОСТР.";"РАЗРАСТ.";"НЕТ"},0), 0,0,0,0,D102,D103,0))
*(1+L87%+CHOOSE(MATCH(LOWER(TRIM(N120)),{"КРИО";"ПИРО";"ЭЛЕКТРО";"ГИДРО";"АНЕМО";"ГЕО";"ДЕНДРО";"ФИЗУХА"},0), L76,L73,L75,L74,L78,L77,L79,L80)%+CHOOSE(MATCH(LOWER(TRIM(S120)),{"ЕШКА";"УЛЬТА";"ОБ. УДАРЫ";"ЗАР. УДАРЫ";"ПРЫЖКИ";"УНИК. УДАР"},0), J84%,J85%,J86%,J87%,J88%,0))
*(1+(J76%+CHOOSE(MATCH(LOWER(TRIM(S120)),{"ЕШКА";"УЛЬТА";"ОБ. УДАРЫ";"ЗАР. УДАРЫ";"ПРЫЖКИ";"УНИК. УДАР"},0),J91,J92,J89,J90,J93,0)%)*MIN((J77%+CHOOSE(MATCH(LOWER(TRIM(S120)),{"ЕШКА";"УЛЬТА";"ОБ. УДАРЫ";"ЗАР. УДАРЫ";"ПРЫЖКИ";"УНИК. УДАР"},0),L90,L91,L88,L89,L92,0)%),100%))*(1-CHOOSE(MATCH(LOWER(TRIM(N120)),{"КРИО";"ПИРО";"ЭЛЕКТРО";"ГИДРО";"АНЕМО";"ГЕО";"ДЕНДРО";"ФИЗУХА"},0), C83,C80,C82,C81,E81,E82,E80,E83)%)*(D79),0)</f>
        <v>0</v>
      </c>
      <c r="M120" s="629" t="s">
        <v>125</v>
      </c>
      <c r="N120" s="1021" t="s">
        <v>1877</v>
      </c>
      <c r="P120" s="627" t="str">
        <f t="shared" si="18"/>
        <v>УНИК. УДАР</v>
      </c>
      <c r="Q120" s="1022"/>
      <c r="R120" s="1023"/>
      <c r="S120" s="1024" t="s">
        <v>2157</v>
      </c>
      <c r="T120" s="1025" t="s">
        <v>2143</v>
      </c>
    </row>
    <row r="121" ht="19.5" customHeight="1">
      <c r="B121" s="473"/>
      <c r="C121" s="473"/>
      <c r="D121" s="473"/>
      <c r="E121" s="473"/>
      <c r="F121" s="473"/>
      <c r="G121" s="473"/>
      <c r="H121" s="473"/>
      <c r="I121" s="627" t="str">
        <f t="shared" si="17"/>
        <v>УНИК. УДАР</v>
      </c>
      <c r="J121" s="1030">
        <f t="array" ref="J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*(1-CHOOSE(MATCH(LOWER(TRIM(N121)),{"КРИО";"ПИРО";"ЭЛЕКТРО";"ГИДРО";"АНЕМО";"ГЕО";"ДЕНДРО";"ФИЗУХА"}, 0), C83,C80,C82,C81,E81,E82,E80,E83)%)*(D79),0)</f>
        <v>0</v>
      </c>
      <c r="K121" s="1031">
        <f t="array" ref="K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*(1+J76%)*(1-CHOOSE(MATCH(LOWER(TRIM(N121)),{"КРИО";"ПИРО";"ЭЛЕКТРО";"ГИДРО";"АНЕМО";"ГЕО";"ДЕНДРО";"ФИЗУХА"}, 0), C83,C80,C82,C81,E81,E82,E80,E83)%)*(D79),0)</f>
        <v>0</v>
      </c>
      <c r="L121" s="1031">
        <f t="array" ref="L121">ROUND((CHOOSE(MATCH(LOWER(TRIM(M121)),{"СА";"СА+ХП";"СА+МС";"СА+ЗЩ";"ХП";"ЗЩ"},0), J74,J74,J74,J74,J78,J79)*Q121%
+CHOOSE(MATCH(LOWER(TRIM(M121)),{"СА";"СА+ХП";"СА+МС";"СА+ЗЩ";"ХП";"ЗЩ"},0), 0,J78,J75,J79,0,0)*R121%+IF(L42=TRUE,L86+CHOOSE(MATCH(LOWER(TRIM(S121)),{"ЕШКА";"УЛЬТА";"ОБ. УДАРЫ";"ЗАР. УДАРЫ";"ПРЫЖКИ";"УНИК. УДАР"},0),L84,L85,L81,L82,L83,0),0)
+CHOOSE(MATCH(LOWER(TRIM(J42)),{"ПАР";"ОБ.ПАР";"ТАЯНИЕ";"ОБ.ТАЯНИЕ";"ОБОСТР.";"РАЗРАСТ.";"НЕТ"},0), 0,0,0,0,D102,D103,0))
*(1+L87%+CHOOSE(MATCH(LOWER(TRIM(N121)),{"КРИО";"ПИРО";"ЭЛЕКТРО";"ГИДРО";"АНЕМО";"ГЕО";"ДЕНДРО";"ФИЗУХА"},0), L76,L73,L75,L74,L78,L77,L79,L80)%+CHOOSE(MATCH(LOWER(TRIM(S121)),{"ЕШКА";"УЛЬТА";"ОБ. УДАРЫ";"ЗАР. УДАРЫ";"ПРЫЖКИ";"УНИК. УДАР"},0), J84%,J85%,J86%,J87%,J88%,0))
*(1+(J76%+CHOOSE(MATCH(LOWER(TRIM(S121)),{"ЕШКА";"УЛЬТА";"ОБ. УДАРЫ";"ЗАР. УДАРЫ";"ПРЫЖКИ";"УНИК. УДАР"},0),J91,J92,J89,J90,J93,0)%)*MIN((J77%+CHOOSE(MATCH(LOWER(TRIM(S121)),{"ЕШКА";"УЛЬТА";"ОБ. УДАРЫ";"ЗАР. УДАРЫ";"ПРЫЖКИ";"УНИК. УДАР"},0),L90,L91,L88,L89,L92,0)%),100%))*(1-CHOOSE(MATCH(LOWER(TRIM(N121)),{"КРИО";"ПИРО";"ЭЛЕКТРО";"ГИДРО";"АНЕМО";"ГЕО";"ДЕНДРО";"ФИЗУХА"},0), C83,C80,C82,C81,E81,E82,E80,E83)%)*(D79),0)</f>
        <v>0</v>
      </c>
      <c r="M121" s="629" t="s">
        <v>125</v>
      </c>
      <c r="N121" s="1021" t="s">
        <v>1877</v>
      </c>
      <c r="P121" s="627" t="str">
        <f t="shared" si="18"/>
        <v>УНИК. УДАР</v>
      </c>
      <c r="Q121" s="1032"/>
      <c r="R121" s="1033"/>
      <c r="S121" s="1024" t="s">
        <v>2157</v>
      </c>
      <c r="T121" s="1025" t="s">
        <v>2143</v>
      </c>
    </row>
    <row r="122" ht="19.5" customHeight="1">
      <c r="B122" s="473"/>
      <c r="C122" s="473"/>
      <c r="D122" s="473"/>
      <c r="E122" s="473"/>
      <c r="F122" s="473"/>
      <c r="G122" s="473"/>
      <c r="H122" s="473"/>
      <c r="I122" s="627" t="str">
        <f t="shared" si="17"/>
        <v>УНИК. УДАР</v>
      </c>
      <c r="J122" s="1020">
        <f t="array" ref="J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*(1-CHOOSE(MATCH(LOWER(TRIM(N122)),{"КРИО";"ПИРО";"ЭЛЕКТРО";"ГИДРО";"АНЕМО";"ГЕО";"ДЕНДРО";"ФИЗУХА"}, 0), C83,C80,C82,C81,E81,E82,E80,E83)%)*(D79),0)</f>
        <v>0</v>
      </c>
      <c r="K122" s="1020">
        <f t="array" ref="K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*(1+J76%)*(1-CHOOSE(MATCH(LOWER(TRIM(N122)),{"КРИО";"ПИРО";"ЭЛЕКТРО";"ГИДРО";"АНЕМО";"ГЕО";"ДЕНДРО";"ФИЗУХА"}, 0), C83,C80,C82,C81,E81,E82,E80,E83)%)*(D79),0)</f>
        <v>0</v>
      </c>
      <c r="L122" s="1020">
        <f t="array" ref="L122">ROUND((CHOOSE(MATCH(LOWER(TRIM(M122)),{"СА";"СА+ХП";"СА+МС";"СА+ЗЩ";"ХП";"ЗЩ"},0), J74,J74,J74,J74,J78,J79)*Q122%
+CHOOSE(MATCH(LOWER(TRIM(M122)),{"СА";"СА+ХП";"СА+МС";"СА+ЗЩ";"ХП";"ЗЩ"},0), 0,J78,J75,J79,0,0)*R122%+IF(L43=TRUE,L86+CHOOSE(MATCH(LOWER(TRIM(S122)),{"ЕШКА";"УЛЬТА";"ОБ. УДАРЫ";"ЗАР. УДАРЫ";"ПРЫЖКИ";"УНИК. УДАР"},0),L84,L85,L81,L82,L83,0),0)
+CHOOSE(MATCH(LOWER(TRIM(J43)),{"ПАР";"ОБ.ПАР";"ТАЯНИЕ";"ОБ.ТАЯНИЕ";"ОБОСТР.";"РАЗРАСТ.";"НЕТ"},0), 0,0,0,0,D102,D103,0))
*(1+L87%+CHOOSE(MATCH(LOWER(TRIM(N122)),{"КРИО";"ПИРО";"ЭЛЕКТРО";"ГИДРО";"АНЕМО";"ГЕО";"ДЕНДРО";"ФИЗУХА"},0), L76,L73,L75,L74,L78,L77,L79,L80)%+CHOOSE(MATCH(LOWER(TRIM(S122)),{"ЕШКА";"УЛЬТА";"ОБ. УДАРЫ";"ЗАР. УДАРЫ";"ПРЫЖКИ";"УНИК. УДАР"},0), J84%,J85%,J86%,J87%,J88%,0))
*(1+(J76%+CHOOSE(MATCH(LOWER(TRIM(S122)),{"ЕШКА";"УЛЬТА";"ОБ. УДАРЫ";"ЗАР. УДАРЫ";"ПРЫЖКИ";"УНИК. УДАР"},0),J91,J92,J89,J90,J93,0)%)*MIN((J77%+CHOOSE(MATCH(LOWER(TRIM(S122)),{"ЕШКА";"УЛЬТА";"ОБ. УДАРЫ";"ЗАР. УДАРЫ";"ПРЫЖКИ";"УНИК. УДАР"},0),L90,L91,L88,L89,L92,0)%),100%))*(1-CHOOSE(MATCH(LOWER(TRIM(N122)),{"КРИО";"ПИРО";"ЭЛЕКТРО";"ГИДРО";"АНЕМО";"ГЕО";"ДЕНДРО";"ФИЗУХА"},0), C83,C80,C82,C81,E81,E82,E80,E83)%)*(D79),0)</f>
        <v>0</v>
      </c>
      <c r="M122" s="629" t="s">
        <v>125</v>
      </c>
      <c r="N122" s="1021" t="s">
        <v>1877</v>
      </c>
      <c r="P122" s="627" t="str">
        <f t="shared" si="18"/>
        <v>УНИК. УДАР</v>
      </c>
      <c r="Q122" s="1022"/>
      <c r="R122" s="1023"/>
      <c r="S122" s="1024" t="s">
        <v>2157</v>
      </c>
      <c r="T122" s="1025" t="s">
        <v>2143</v>
      </c>
    </row>
    <row r="123" ht="19.5" customHeight="1">
      <c r="B123" s="473"/>
      <c r="C123" s="473"/>
      <c r="D123" s="473"/>
      <c r="E123" s="473"/>
      <c r="F123" s="473"/>
      <c r="G123" s="473"/>
      <c r="H123" s="473"/>
      <c r="I123" s="627" t="str">
        <f t="shared" si="17"/>
        <v>УНИК. УДАР</v>
      </c>
      <c r="J123" s="1031">
        <f t="array" ref="J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*(1-CHOOSE(MATCH(LOWER(TRIM(N123)),{"КРИО";"ПИРО";"ЭЛЕКТРО";"ГИДРО";"АНЕМО";"ГЕО";"ДЕНДРО";"ФИЗУХА"}, 0), C83,C80,C82,C81,E81,E82,E80,E83)%)*(D79),0)</f>
        <v>0</v>
      </c>
      <c r="K123" s="1031">
        <f t="array" ref="K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*(1+J76%)*(1-CHOOSE(MATCH(LOWER(TRIM(N123)),{"КРИО";"ПИРО";"ЭЛЕКТРО";"ГИДРО";"АНЕМО";"ГЕО";"ДЕНДРО";"ФИЗУХА"}, 0), C83,C80,C82,C81,E81,E82,E80,E83)%)*(D79),0)</f>
        <v>0</v>
      </c>
      <c r="L123" s="1031">
        <f t="array" ref="L123">ROUND((CHOOSE(MATCH(LOWER(TRIM(M123)),{"СА";"СА+ХП";"СА+МС";"СА+ЗЩ";"ХП";"ЗЩ"},0), J74,J74,J74,J74,J78,J79)*Q123%
+CHOOSE(MATCH(LOWER(TRIM(M123)),{"СА";"СА+ХП";"СА+МС";"СА+ЗЩ";"ХП";"ЗЩ"},0), 0,J78,J75,J79,0,0)*R123%+IF(L44=TRUE,L86+CHOOSE(MATCH(LOWER(TRIM(S123)),{"ЕШКА";"УЛЬТА";"ОБ. УДАРЫ";"ЗАР. УДАРЫ";"ПРЫЖКИ";"УНИК. УДАР"},0),L84,L85,L81,L82,L83,0),0)
+CHOOSE(MATCH(LOWER(TRIM(J44)),{"ПАР";"ОБ.ПАР";"ТАЯНИЕ";"ОБ.ТАЯНИЕ";"ОБОСТР.";"РАЗРАСТ.";"НЕТ"},0), 0,0,0,0,D102,D103,0))
*(1+L87%+CHOOSE(MATCH(LOWER(TRIM(N123)),{"КРИО";"ПИРО";"ЭЛЕКТРО";"ГИДРО";"АНЕМО";"ГЕО";"ДЕНДРО";"ФИЗУХА"},0), L76,L73,L75,L74,L78,L77,L79,L80)%+CHOOSE(MATCH(LOWER(TRIM(S123)),{"ЕШКА";"УЛЬТА";"ОБ. УДАРЫ";"ЗАР. УДАРЫ";"ПРЫЖКИ";"УНИК. УДАР"},0), J84%,J85%,J86%,J87%,J88%,0))
*(1+(J76%+CHOOSE(MATCH(LOWER(TRIM(S123)),{"ЕШКА";"УЛЬТА";"ОБ. УДАРЫ";"ЗАР. УДАРЫ";"ПРЫЖКИ";"УНИК. УДАР"},0),J91,J92,J89,J90,J93,0)%)*MIN((J77%+CHOOSE(MATCH(LOWER(TRIM(S123)),{"ЕШКА";"УЛЬТА";"ОБ. УДАРЫ";"ЗАР. УДАРЫ";"ПРЫЖКИ";"УНИК. УДАР"},0),L90,L91,L88,L89,L92,0)%),100%))*(1-CHOOSE(MATCH(LOWER(TRIM(N123)),{"КРИО";"ПИРО";"ЭЛЕКТРО";"ГИДРО";"АНЕМО";"ГЕО";"ДЕНДРО";"ФИЗУХА"},0), C83,C80,C82,C81,E81,E82,E80,E83)%)*(D79),0)</f>
        <v>0</v>
      </c>
      <c r="M123" s="629" t="s">
        <v>125</v>
      </c>
      <c r="N123" s="1021" t="s">
        <v>1877</v>
      </c>
      <c r="P123" s="627" t="str">
        <f t="shared" si="18"/>
        <v>УНИК. УДАР</v>
      </c>
      <c r="Q123" s="1032"/>
      <c r="R123" s="1033"/>
      <c r="S123" s="1024" t="s">
        <v>2157</v>
      </c>
      <c r="T123" s="1025" t="s">
        <v>2143</v>
      </c>
    </row>
    <row r="124" ht="19.5" customHeight="1">
      <c r="B124" s="473"/>
      <c r="C124" s="473"/>
      <c r="D124" s="473"/>
      <c r="E124" s="473"/>
      <c r="F124" s="473"/>
      <c r="G124" s="473"/>
      <c r="H124" s="473"/>
      <c r="I124" s="627" t="str">
        <f t="shared" si="17"/>
        <v>УНИК. УДАР</v>
      </c>
      <c r="J124" s="1020">
        <f t="array" ref="J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
(1+L87%+CHOOSE(MATCH(LOWER(TRIM(N124)),{"КРИО";"ПИРО";"ЭЛЕКТРО";"ГИДРО";"АНЕМО";"ГЕО";"ДЕНДРО";"ФИЗУХА"}, 0), L76,L73,L75,L74,L78,L77,L79,L80)%+CHOOSE(MATCH(LOWER(TRIM(S124)),{"ЕШКА";"УЛЬТА";"ОБ. УДАРЫ";"ЗАР. УДАРЫ";"ПРЫЖКИ";"УНИК. УДАР"},0),J84%,J85%,J86%,J87%,J88%,0))
*(1-CHOOSE(MATCH(LOWER(TRIM(N124)),{"КРИО";"ПИРО";"ЭЛЕКТРО";"ГИДРО";"АНЕМО";"ГЕО";"ДЕНДРО";"ФИЗУХА"}, 0), C83,C80,C82,C81,E81,E82,E80,E83)%)*(D79),0)</f>
        <v>0</v>
      </c>
      <c r="K124" s="1020">
        <f t="array" ref="K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УДАР"},0),L84,L85,L81,L82,L83,0),0))*
(1+L87%+CHOOSE(MATCH(LOWER(TRIM(N124)),{"КРИО";"ПИРО";"ЭЛЕКТРО";"ГИДРО";"АНЕМО";"ГЕО";"ДЕНДРО";"ФИЗУХА"}, 0), L76,L73,L75,L74,L78,L77,L79,L80)%+CHOOSE(MATCH(LOWER(TRIM(S124)),{"ЕШКА";"УЛЬТА";"ОБ. УДАРЫ";"ЗАР. УДАРЫ";"ПРЫЖКИ";"УНИК. УДАР"},0),J84%,J85%,J86%,J87%,J88%,0))
*(1+J76%)*(1-CHOOSE(MATCH(LOWER(TRIM(N124)),{"КРИО";"ПИРО";"ЭЛЕКТРО";"ГИДРО";"АНЕМО";"ГЕО";"ДЕНДРО";"ФИЗУХА"}, 0), C83,C80,C82,C81,E81,E82,E80,E83)%)*(D79),0)</f>
        <v>0</v>
      </c>
      <c r="L124" s="1020">
        <f t="array" ref="L124">ROUND((CHOOSE(MATCH(LOWER(TRIM(M124)),{"СА";"СА+ХП";"СА+МС";"СА+ЗЩ";"ХП";"ЗЩ"},0), J74,J74,J74,J74,J78,J79)*Q124%
+CHOOSE(MATCH(LOWER(TRIM(M124)),{"СА";"СА+ХП";"СА+МС";"СА+ЗЩ";"ХП";"ЗЩ"},0), 0,J78,J75,J79,0,0)*R124%+IF(L45=TRUE,L86+CHOOSE(MATCH(LOWER(TRIM(S124)),{"ЕШКА";"УЛЬТА";"ОБ. УДАРЫ";"ЗАР. УДАРЫ";"ПРЫЖКИ";"УНИК. УДАР"},0),L84,L85,L81,L82,L83,0),0)
+CHOOSE(MATCH(LOWER(TRIM(J45)),{"ПАР";"ОБ.ПАР";"ТАЯНИЕ";"ОБ.ТАЯНИЕ";"ОБОСТР.";"РАЗРАСТ.";"НЕТ"},0), 0,0,0,0,D102,D103,0))
*(1+L87%+CHOOSE(MATCH(LOWER(TRIM(N124)),{"КРИО";"ПИРО";"ЭЛЕКТРО";"ГИДРО";"АНЕМО";"ГЕО";"ДЕНДРО";"ФИЗУХА"},0), L76,L73,L75,L74,L78,L77,L79,L80)%+CHOOSE(MATCH(LOWER(TRIM(S124)),{"ЕШКА";"УЛЬТА";"ОБ. УДАРЫ";"ЗАР. УДАРЫ";"ПРЫЖКИ";"УНИК. УДАР"},0), J84%,J85%,J86%,J87%,J88%,0))
*(1+(J76%+CHOOSE(MATCH(LOWER(TRIM(S124)),{"ЕШКА";"УЛЬТА";"ОБ. УДАРЫ";"ЗАР. УДАРЫ";"ПРЫЖКИ";"УНИК. УДАР"},0),J91,J92,J89,J90,J93,0)%)*MIN((J77%+CHOOSE(MATCH(LOWER(TRIM(S124)),{"ЕШКА";"УЛЬТА";"ОБ. УДАРЫ";"ЗАР. УДАРЫ";"ПРЫЖКИ";"УНИК. УДАР"},0),L90,L91,L88,L89,L92,0)%),100%))*(1-CHOOSE(MATCH(LOWER(TRIM(N124)),{"КРИО";"ПИРО";"ЭЛЕКТРО";"ГИДРО";"АНЕМО";"ГЕО";"ДЕНДРО";"ФИЗУХА"},0), C83,C80,C82,C81,E81,E82,E80,E83)%)*(D79),0)</f>
        <v>0</v>
      </c>
      <c r="M124" s="629" t="s">
        <v>125</v>
      </c>
      <c r="N124" s="1021" t="s">
        <v>1877</v>
      </c>
      <c r="P124" s="627" t="str">
        <f t="shared" si="18"/>
        <v>УНИК. УДАР</v>
      </c>
      <c r="Q124" s="1022"/>
      <c r="R124" s="1023"/>
      <c r="S124" s="1053" t="s">
        <v>2157</v>
      </c>
      <c r="T124" s="1054" t="s">
        <v>2143</v>
      </c>
    </row>
    <row r="125" ht="19.5" customHeight="1">
      <c r="B125" s="473"/>
      <c r="C125" s="473"/>
      <c r="D125" s="473"/>
      <c r="E125" s="473"/>
      <c r="F125" s="473"/>
      <c r="G125" s="473"/>
      <c r="H125" s="473"/>
      <c r="I125" s="627" t="str">
        <f t="shared" ref="I125:I128" si="19">P125</f>
        <v>ПРОЧЕЕ</v>
      </c>
      <c r="J125" s="628">
        <f t="array" ref="J125">ROUND((Q125+(CHOOSE(MATCH(LOWER(TRIM(M125)),{"СА";"ХП";"ЗЩ";"МС"}, 0), J74,J78,J79,J75)%*R125))*(1-CHOOSE(MATCH(LOWER(TRIM(N125)),{"КРИО";"ПИРО";"ЭЛЕКТРО";"ГИДРО";"АНЕМО";"ГЕО";"ДЕНДРО";"ФИЗУХА"}, 0), C83,C80,C82,C81,E81,E82,E80,E83)%),0)</f>
        <v>0</v>
      </c>
      <c r="K125" s="630" t="s">
        <v>14</v>
      </c>
      <c r="L125" s="630" t="s">
        <v>14</v>
      </c>
      <c r="M125" s="629" t="s">
        <v>125</v>
      </c>
      <c r="N125" s="1055" t="s">
        <v>2170</v>
      </c>
      <c r="P125" s="627" t="s">
        <v>1912</v>
      </c>
      <c r="Q125" s="1027"/>
      <c r="R125" s="1055"/>
      <c r="S125" s="472"/>
      <c r="T125" s="472"/>
    </row>
    <row r="126" ht="19.5" customHeight="1">
      <c r="B126" s="473"/>
      <c r="C126" s="473"/>
      <c r="D126" s="473"/>
      <c r="E126" s="473"/>
      <c r="F126" s="473"/>
      <c r="G126" s="473"/>
      <c r="H126" s="473"/>
      <c r="I126" s="615" t="str">
        <f t="shared" si="19"/>
        <v>ЛЕЧЕНИЕ</v>
      </c>
      <c r="J126" s="1056">
        <f t="array" ref="J126">ROUND((R126+(CHOOSE(MATCH(LOWER(TRIM(M126)),{"СА";"ХП";"ЗЩ";"МС"}, 0), J74,J78,J79,J75)*Q126%))*(1+J81%+J82%),0)</f>
        <v>0</v>
      </c>
      <c r="K126" s="1057">
        <v>1.0</v>
      </c>
      <c r="L126" s="1057">
        <f>J126*K126</f>
        <v>0</v>
      </c>
      <c r="M126" s="1058" t="s">
        <v>165</v>
      </c>
      <c r="N126" s="1059" t="s">
        <v>1918</v>
      </c>
      <c r="P126" s="615" t="s">
        <v>1919</v>
      </c>
      <c r="Q126" s="1060"/>
      <c r="R126" s="1061"/>
      <c r="S126" s="471" t="s">
        <v>1919</v>
      </c>
      <c r="T126" s="1062" t="s">
        <v>2143</v>
      </c>
    </row>
    <row r="127" ht="19.5" customHeight="1">
      <c r="B127" s="473"/>
      <c r="C127" s="473"/>
      <c r="D127" s="473"/>
      <c r="E127" s="473"/>
      <c r="F127" s="473"/>
      <c r="G127" s="473"/>
      <c r="H127" s="473"/>
      <c r="I127" s="627" t="str">
        <f t="shared" si="19"/>
        <v>ЛЕЧЕНИЕ</v>
      </c>
      <c r="J127" s="1036">
        <f t="array" ref="J127">ROUND((R127+(CHOOSE(MATCH(LOWER(TRIM(M127)),{"СА";"ХП";"ЗЩ";"МС"}, 0), J74,J78,J79,J75)*Q127%))*(1+J81%+J82%),0)</f>
        <v>0</v>
      </c>
      <c r="K127" s="630">
        <v>1.0</v>
      </c>
      <c r="L127" s="630">
        <f t="shared" ref="L127:L128" si="20">K127*J127</f>
        <v>0</v>
      </c>
      <c r="M127" s="629" t="s">
        <v>1330</v>
      </c>
      <c r="N127" s="1063" t="s">
        <v>1918</v>
      </c>
      <c r="P127" s="627" t="s">
        <v>1919</v>
      </c>
      <c r="Q127" s="1022"/>
      <c r="R127" s="1023"/>
      <c r="S127" s="1064"/>
      <c r="T127" s="1065" t="s">
        <v>2143</v>
      </c>
    </row>
    <row r="128" ht="19.5" customHeight="1">
      <c r="B128" s="473"/>
      <c r="C128" s="473"/>
      <c r="D128" s="473"/>
      <c r="E128" s="473"/>
      <c r="F128" s="473"/>
      <c r="G128" s="473"/>
      <c r="H128" s="473"/>
      <c r="I128" s="750" t="str">
        <f t="shared" si="19"/>
        <v>ЩИТ</v>
      </c>
      <c r="J128" s="1066">
        <f t="array" ref="J128">ROUND((R128+(CHOOSE(MATCH(LOWER(TRIM(M128)),{"СА";"ХП";"ЗЩ";"МС"}, 0), J74,J78,J79,J75)*Q128%))*(1+J83%),0)</f>
        <v>0</v>
      </c>
      <c r="K128" s="1067">
        <v>1.0</v>
      </c>
      <c r="L128" s="1067">
        <f t="shared" si="20"/>
        <v>0</v>
      </c>
      <c r="M128" s="1068" t="s">
        <v>165</v>
      </c>
      <c r="N128" s="1069" t="s">
        <v>1877</v>
      </c>
      <c r="P128" s="750" t="s">
        <v>1932</v>
      </c>
      <c r="Q128" s="1070"/>
      <c r="R128" s="1071"/>
      <c r="S128" s="471" t="s">
        <v>1932</v>
      </c>
      <c r="T128" s="1072" t="s">
        <v>2143</v>
      </c>
    </row>
    <row r="129" ht="19.5" customHeight="1">
      <c r="B129" s="473"/>
      <c r="C129" s="473"/>
      <c r="D129" s="473"/>
      <c r="E129" s="473"/>
      <c r="F129" s="473"/>
      <c r="G129" s="473"/>
      <c r="H129" s="473"/>
      <c r="I129" s="472"/>
      <c r="J129" s="1073" t="s">
        <v>2171</v>
      </c>
      <c r="K129" s="1074" t="s">
        <v>1927</v>
      </c>
      <c r="L129" s="1075" t="s">
        <v>2172</v>
      </c>
      <c r="M129" s="472"/>
      <c r="N129" s="472"/>
      <c r="P129" s="1076" t="s">
        <v>2173</v>
      </c>
      <c r="Q129" s="1077" t="s">
        <v>2137</v>
      </c>
      <c r="R129" s="1078" t="s">
        <v>2174</v>
      </c>
      <c r="S129" s="472"/>
      <c r="T129" s="472"/>
    </row>
    <row r="130" ht="19.5" customHeight="1">
      <c r="B130" s="473"/>
    </row>
  </sheetData>
  <mergeCells count="143">
    <mergeCell ref="O95:O129"/>
    <mergeCell ref="P95:T96"/>
    <mergeCell ref="B111:C111"/>
    <mergeCell ref="B112:C112"/>
    <mergeCell ref="B106:C106"/>
    <mergeCell ref="B105:C105"/>
    <mergeCell ref="B1:T1"/>
    <mergeCell ref="U1:U130"/>
    <mergeCell ref="F2:G3"/>
    <mergeCell ref="R2:T3"/>
    <mergeCell ref="A4:A130"/>
    <mergeCell ref="T4:T6"/>
    <mergeCell ref="F12:F15"/>
    <mergeCell ref="B130:T130"/>
    <mergeCell ref="B113:C113"/>
    <mergeCell ref="B114:C114"/>
    <mergeCell ref="B115:C115"/>
    <mergeCell ref="B116:C116"/>
    <mergeCell ref="B117:C117"/>
    <mergeCell ref="B118:C118"/>
    <mergeCell ref="B119:C119"/>
    <mergeCell ref="B120:C120"/>
    <mergeCell ref="B107:C107"/>
    <mergeCell ref="B108:C108"/>
    <mergeCell ref="B109:C109"/>
    <mergeCell ref="B110:C110"/>
    <mergeCell ref="Q2:Q3"/>
    <mergeCell ref="K3:O4"/>
    <mergeCell ref="A2:A3"/>
    <mergeCell ref="B4:C11"/>
    <mergeCell ref="D4:E5"/>
    <mergeCell ref="F4:F7"/>
    <mergeCell ref="D6:E7"/>
    <mergeCell ref="Q4:R5"/>
    <mergeCell ref="S4:S5"/>
    <mergeCell ref="H2:H3"/>
    <mergeCell ref="K5:L6"/>
    <mergeCell ref="I2:I3"/>
    <mergeCell ref="M5:M6"/>
    <mergeCell ref="N5:O6"/>
    <mergeCell ref="D8:E9"/>
    <mergeCell ref="F8:F11"/>
    <mergeCell ref="S10:T10"/>
    <mergeCell ref="S11:S12"/>
    <mergeCell ref="B2:E3"/>
    <mergeCell ref="B12:D12"/>
    <mergeCell ref="T11:T13"/>
    <mergeCell ref="S13:S14"/>
    <mergeCell ref="L13:M13"/>
    <mergeCell ref="L14:M14"/>
    <mergeCell ref="I7:K15"/>
    <mergeCell ref="L7:M7"/>
    <mergeCell ref="L8:M8"/>
    <mergeCell ref="L9:M9"/>
    <mergeCell ref="L10:M10"/>
    <mergeCell ref="L11:M11"/>
    <mergeCell ref="L12:M12"/>
    <mergeCell ref="T14:T16"/>
    <mergeCell ref="L15:M15"/>
    <mergeCell ref="S15:S16"/>
    <mergeCell ref="N16:O16"/>
    <mergeCell ref="B21:E22"/>
    <mergeCell ref="B23:C24"/>
    <mergeCell ref="D23:E24"/>
    <mergeCell ref="B25:C25"/>
    <mergeCell ref="D25:E25"/>
    <mergeCell ref="B27:E27"/>
    <mergeCell ref="O27:Q28"/>
    <mergeCell ref="R27:T28"/>
    <mergeCell ref="S34:T34"/>
    <mergeCell ref="S35:S36"/>
    <mergeCell ref="T35:T36"/>
    <mergeCell ref="B37:D38"/>
    <mergeCell ref="E37:F38"/>
    <mergeCell ref="T37:T39"/>
    <mergeCell ref="S38:S39"/>
    <mergeCell ref="B39:C40"/>
    <mergeCell ref="D39:D40"/>
    <mergeCell ref="H16:M17"/>
    <mergeCell ref="B18:B19"/>
    <mergeCell ref="C18:C19"/>
    <mergeCell ref="D18:D19"/>
    <mergeCell ref="E39:E40"/>
    <mergeCell ref="F39:F40"/>
    <mergeCell ref="S40:T41"/>
    <mergeCell ref="B41:C42"/>
    <mergeCell ref="D41:D42"/>
    <mergeCell ref="E41:E42"/>
    <mergeCell ref="F41:F42"/>
    <mergeCell ref="B43:C44"/>
    <mergeCell ref="D43:D44"/>
    <mergeCell ref="E43:E44"/>
    <mergeCell ref="F43:F44"/>
    <mergeCell ref="S46:T47"/>
    <mergeCell ref="E47:E48"/>
    <mergeCell ref="F47:F48"/>
    <mergeCell ref="I48:M49"/>
    <mergeCell ref="O48:O49"/>
    <mergeCell ref="P48:P49"/>
    <mergeCell ref="E49:E50"/>
    <mergeCell ref="F49:F50"/>
    <mergeCell ref="S49:T50"/>
    <mergeCell ref="O50:R51"/>
    <mergeCell ref="S52:S53"/>
    <mergeCell ref="T52:T53"/>
    <mergeCell ref="S54:S55"/>
    <mergeCell ref="T54:T55"/>
    <mergeCell ref="B56:E57"/>
    <mergeCell ref="S56:S57"/>
    <mergeCell ref="O57:P57"/>
    <mergeCell ref="Q57:R57"/>
    <mergeCell ref="T56:T57"/>
    <mergeCell ref="O58:Q59"/>
    <mergeCell ref="R58:R59"/>
    <mergeCell ref="S58:S59"/>
    <mergeCell ref="T58:T59"/>
    <mergeCell ref="O70:T71"/>
    <mergeCell ref="S43:T44"/>
    <mergeCell ref="B45:C46"/>
    <mergeCell ref="D45:D46"/>
    <mergeCell ref="E45:E46"/>
    <mergeCell ref="F45:F46"/>
    <mergeCell ref="I71:N72"/>
    <mergeCell ref="Q74:Q75"/>
    <mergeCell ref="B75:E76"/>
    <mergeCell ref="Q76:Q77"/>
    <mergeCell ref="Q78:Q79"/>
    <mergeCell ref="B79:C79"/>
    <mergeCell ref="D79:E79"/>
    <mergeCell ref="Q80:Q81"/>
    <mergeCell ref="B84:E84"/>
    <mergeCell ref="B89:D89"/>
    <mergeCell ref="B94:T94"/>
    <mergeCell ref="B95:H96"/>
    <mergeCell ref="I95:N96"/>
    <mergeCell ref="B97:C97"/>
    <mergeCell ref="B98:C98"/>
    <mergeCell ref="B99:C99"/>
    <mergeCell ref="B100:C100"/>
    <mergeCell ref="B101:C101"/>
    <mergeCell ref="B102:C102"/>
    <mergeCell ref="B103:C103"/>
    <mergeCell ref="B104:C104"/>
  </mergeCells>
  <dataValidations>
    <dataValidation type="list" allowBlank="1" showErrorMessage="1" sqref="N98:N125 N128">
      <formula1>"КРИО,ПИРО,ЭЛЕКТРО,ГИДРО,АНЕМО,ГЕО,ДЕНДРО,ФИЗУХА"</formula1>
    </dataValidation>
    <dataValidation type="list" allowBlank="1" showErrorMessage="1" sqref="G5 D6 G9 G13">
      <formula1>"АНЕМО,ГЕО,ПИРО,ГИДРО,ЭЛЕКТРО,КРИО,ДЕНДРО,ФИЗУХА"</formula1>
    </dataValidation>
    <dataValidation type="list" allowBlank="1" showErrorMessage="1" sqref="R27">
      <formula1>"СЕРЕНАДА ЛУНЫ,НОЧЬ НЕБА,КЛЯТВА НОЧИ,ФИНАЛ ГЛУБИН,СВИТОК ГЕРОЯ,ОБСИД. ФОЛИАНТ,ФРАГМЕНТ,ГРЁЗЫ,ШЁПОТ В ЛЕСУ,ПЕСНЬ ВРЕМЁН,ЗОЛОТАЯ ТРУППА,ОХОТНИК СУМРАЧ.,ВУРУКАШ,СОН НИМФЫ,ЦВЕТОК РАЯ,ХРОНИКИ ПУСТ.,ПОЗОЛОЧ. СНЫ,ДРЕМУЧИЙ ЛЕС,ПОДНОШЕНИЕ,КИНОВАРА,МОЛЛЮСК,КОКОН,ЭМБ"&amp;"ЛЕМА,СИМЭНАВА,БЛЕДНЫЙ ОГОНЬ,МИЛЛЕЛИТ,СЕРДЦЕ ГЛУБИН,МЕТЕЛЬ,АРХАИЧНЫЙ,КОМЕТА,ЦЕРЕМОНИЯ,РЫЦАРЬ КРОВИ,АЛАЯ ВЕДЬМА,СТУП. ПО ЛАВЕ,РЁВ ЯРОСТИ,ГРОМ,ТЕНЬ,ДЕВА,ГЛАДИАТОР,АНСАМБЛЬ"</formula1>
    </dataValidation>
    <dataValidation type="list" allowBlank="1" showErrorMessage="1" sqref="B117">
      <formula1>"РАССЕИВАНИЕ 2,РАССЕИВ. + С6"</formula1>
    </dataValidation>
    <dataValidation type="list" allowBlank="1" sqref="D4">
      <formula1>"НОЭЛЛЬ,ИТТО,НАВИЯ"</formula1>
    </dataValidation>
    <dataValidation type="list" allowBlank="1" showErrorMessage="1" sqref="B107">
      <formula1>"БУТОН,БУТОН+С2(НАХ),БУТОН+А1(ЛАУ),БУТОН+С2+А1"</formula1>
    </dataValidation>
    <dataValidation type="list" allowBlank="1" showErrorMessage="1" sqref="R82">
      <formula1>"ШАБАШ,НЕ ШАБАШ,НЕ АКТИВ"</formula1>
    </dataValidation>
    <dataValidation type="list" allowBlank="1" showErrorMessage="1" sqref="S98:S124">
      <formula1>"ЕШКА,УЛЬТА,ОБ. УДАРЫ,ЗАР. УДАРЫ,ПРЫЖКИ,УНИК. УДАР"</formula1>
    </dataValidation>
    <dataValidation type="list" allowBlank="1" showErrorMessage="1" sqref="N126:N127">
      <formula1>"КРИО,ПИРО,ЭЛЕКТРО,ГИДРО,АНЕМО,ГЕО,ДЕНДРО,ФИЗУХА,НЕТ"</formula1>
    </dataValidation>
    <dataValidation type="list" allowBlank="1" showErrorMessage="1" sqref="M125:M128">
      <formula1>"СА,ХП,ЗЩ,МС"</formula1>
    </dataValidation>
    <dataValidation type="list" allowBlank="1" showErrorMessage="1" sqref="R6">
      <formula1>"КУ%,ШК%,СА%,ХП%,ЗЩ%,ВЭ%,МС,ФИЗ%"</formula1>
    </dataValidation>
    <dataValidation type="list" allowBlank="1" sqref="R2">
      <formula1>"НЕБЕСНОЕ ВЕЛИЧИЕ,ВОЛЧЬЯ ПОГИБЕЛЬ,ПЕСНЬ СОСЕН,НЕКОВАНЫЙ,КАМНЕРУБ,МАЯК МОРЯ,ВЕРДИКТ,КЛЫК КОРОЛЯ,ТЫСЯЧА СОЛНЦ,ФАВОНИЙ ДВУРУК,МЕЧ КОЛОКОЛ,ЦЕРЕМОН. ДВУРУК,КОРОЛЕВ. ДВУРУК,ДОЖДЕРЕЗ,АРХАИЧНЫЙ,БЕЛАЯ ТЕНЬ,ЧЕРНОГОР ДВУРУК,ДРАКОНЬЯ КОСТЬ,КАМЕННЫЙ,СЕРЕБРО,ВЛАДЫКА,НАГ"&amp;"АМАСА,АКВАМАРИН,АКУОМАРУ,РЕГАЛИЯ ЛЕСА,ЦВЕТОК,ПАЛИЦА,ТЕНЬ ВОЛНЫ,СУПЕР МЕЧ,МОТОПИЛА,ПЛОДОТВОРНЫЙ,СОТРЯСАЮЩИЙ,ОЗАРЕНИЕ,МАСТЕР КЛЮЧ"</formula1>
    </dataValidation>
    <dataValidation type="list" allowBlank="1" showErrorMessage="1" sqref="T126:T128">
      <formula1>"10 ЛВЛ,13 ЛВЛ"</formula1>
    </dataValidation>
    <dataValidation type="list" allowBlank="1" showErrorMessage="1" sqref="G6 D8 G10 G14">
      <formula1>"ДВУРУК,ОДНОРУК,СТРЕЛОК,КАТАЛИК,КОПЕЙЩИК"</formula1>
    </dataValidation>
    <dataValidation type="list" allowBlank="1" showErrorMessage="1" sqref="S43">
      <formula1>"СА%,ХП%,ЗЩ%,МС,ВЭ%,НЕТ"</formula1>
    </dataValidation>
    <dataValidation type="list" allowBlank="1" showErrorMessage="1" sqref="C18">
      <formula1>"ПИРО ПЕРС,КРИО ПЕРС,ЭЛЕК. ПЕРС,ГИДРО ПЕРС,АНЕМО ПЕРС,ДЕНД. ПЕРС,ГЕО ПЕРС"</formula1>
    </dataValidation>
    <dataValidation type="list" allowBlank="1" showErrorMessage="1" sqref="M98:M124">
      <formula1>"СА,СА+ХП,СА+МС,СА+ЗЩ,ХП,ЗЩ"</formula1>
    </dataValidation>
    <dataValidation type="list" allowBlank="1" showErrorMessage="1" sqref="T98:T124">
      <formula1>"1 ЛВЛ,6 ЛВЛ,9 ЛВЛ,10 ЛВЛ,11 ЛВЛ,12 ЛВЛ,13 ЛВЛ,14 ЛВЛ"</formula1>
    </dataValidation>
    <dataValidation type="list" allowBlank="1" showErrorMessage="1" sqref="D17">
      <formula1>"20 МС,30 МС,50 МС,НЕТ"</formula1>
    </dataValidation>
    <dataValidation type="list" allowBlank="1" showErrorMessage="1" sqref="S49">
      <formula1>"КУ%,ШК%,СА%,ХП%,ЗЩ%,МС,БОНУС ЛЕЧЕНИЕ,НЕТ"</formula1>
    </dataValidation>
    <dataValidation type="list" allowBlank="1" showErrorMessage="1" sqref="T74">
      <formula1>"НАТЛАН,НЕ НАТЛАН,НЕ АКТИВ"</formula1>
    </dataValidation>
    <dataValidation type="list" allowBlank="1" showErrorMessage="1" sqref="H116:H117">
      <formula1>"🔥ПИРО,💧ГИДРО,⚡️ЭЛЕКТРО,❄️КРИО"</formula1>
    </dataValidation>
    <dataValidation type="list" allowBlank="1" sqref="G4">
      <formula1>"ГОРО"</formula1>
    </dataValidation>
    <dataValidation type="list" allowBlank="1" showErrorMessage="1" sqref="S38">
      <formula1>"ПИРО,ГИДРО,ЭЛЕКТРО,КРИО,ГЕО,АНЕМО,ДЕНДРО,НЕТ"</formula1>
    </dataValidation>
    <dataValidation type="list" allowBlank="1" showErrorMessage="1" sqref="S46">
      <formula1>"АФ.КРИО%,АФ.ПИРО%,АФ.ГИДРО%,АФ.ЭЛЕКТРО%,АФ.ГЕО%,АФ.АНЕМО%,АФ.ДЕНДРО%,АФ.ФИЗ.%,СА%,ХП%,ЗЩ%,МС,НЕТ"</formula1>
    </dataValidation>
    <dataValidation type="list" allowBlank="1" sqref="T80 T82">
      <formula1>"2 НОДА,1 НОД,НЕ АКТИВ"</formula1>
    </dataValidation>
    <dataValidation type="list" allowBlank="1" showErrorMessage="1" sqref="B108">
      <formula1>"ВЕГЕТАЦИЯ,ВЕГЕТАЦИЯ+С2,ВЕГЕТАЦИЯ+А1,ВЕГЕТ.+С2+А1"</formula1>
    </dataValidation>
    <dataValidation type="list" allowBlank="1" showErrorMessage="1" sqref="B109">
      <formula1>"ЦВЕТЕНИЕ,ЦВЕТЕНИЕ+С2,ЦВЕТЕНИЕ+А1,ЦВЕТ.+С2+А1"</formula1>
    </dataValidation>
    <dataValidation type="list" allowBlank="1" showErrorMessage="1" sqref="J19:J46">
      <formula1>"ПАР,ОБ.ПАР,ТАЯНИЕ,ОБ.ТАЯНИЕ,РАЗРАСТ.,ОБОСТР.,НЕТ"</formula1>
    </dataValidation>
    <dataValidation type="list" allowBlank="1" showErrorMessage="1" sqref="T4">
      <formula1>"РП1,РП2,РП3,РП4,РП5"</formula1>
    </dataValidation>
    <dataValidation type="list" allowBlank="1" showErrorMessage="1" sqref="B116">
      <formula1>"РАССЕИВАНИЕ 1,РАССЕИВ. + С6"</formula1>
    </dataValidation>
    <dataValidation type="list" allowBlank="1" showErrorMessage="1" sqref="S35">
      <formula1>"НЕТ,1,2,3,4,5"</formula1>
    </dataValidation>
    <dataValidation type="list" allowBlank="1" sqref="G12">
      <formula1>"ПИРО ГГ,БЕННЕТ,ДУРИН"</formula1>
    </dataValidation>
    <dataValidation type="list" allowBlank="1" showErrorMessage="1" sqref="S11 S13 S15">
      <formula1>"НЕТ,1,2,3,4,5,6"</formula1>
    </dataValidation>
    <dataValidation type="list" allowBlank="1" showErrorMessage="1" sqref="B23">
      <formula1>"УРОВЕНЬ 100,УРОВЕНЬ 95,УРОВЕНЬ 90,УРОВЕНЬ 80"</formula1>
    </dataValidation>
    <dataValidation type="list" allowBlank="1" showErrorMessage="1" sqref="I2">
      <formula1>"ОТРЯД 1,ОТРЯД 2,ОТРЯД 3"</formula1>
    </dataValidation>
    <dataValidation type="list" allowBlank="1" sqref="G8">
      <formula1>"АЛЬБЕДО,ТИОРИ,ШИЛОНЕН,ГЕО ГГ"</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B7B7"/>
    <outlinePr summaryBelow="0" summaryRight="0"/>
  </sheetPr>
  <sheetViews>
    <sheetView workbookViewId="0"/>
  </sheetViews>
  <sheetFormatPr customHeight="1" defaultColWidth="12.63" defaultRowHeight="15.75"/>
  <cols>
    <col customWidth="1" min="1" max="1" width="7.0"/>
    <col customWidth="1" min="2" max="20" width="14.25"/>
    <col customWidth="1" min="21" max="21" width="7.0"/>
  </cols>
  <sheetData>
    <row r="1" ht="19.5" customHeight="1">
      <c r="A1" s="471" t="str">
        <f>IF(A2=true,"CALC","OFFCALC")</f>
        <v>CALC</v>
      </c>
      <c r="B1" s="472"/>
      <c r="U1" s="473"/>
    </row>
    <row r="2" ht="19.5" customHeight="1">
      <c r="A2" s="474" t="b">
        <v>1</v>
      </c>
      <c r="B2" s="475" t="s">
        <v>1867</v>
      </c>
      <c r="C2" s="476"/>
      <c r="D2" s="476"/>
      <c r="E2" s="477"/>
      <c r="F2" s="478" t="s">
        <v>1868</v>
      </c>
      <c r="G2" s="477"/>
      <c r="H2" s="479" t="s">
        <v>571</v>
      </c>
      <c r="I2" s="480" t="s">
        <v>1869</v>
      </c>
      <c r="J2" s="473"/>
      <c r="K2" s="473"/>
      <c r="L2" s="473"/>
      <c r="M2" s="473"/>
      <c r="N2" s="473"/>
      <c r="O2" s="473"/>
      <c r="P2" s="473"/>
      <c r="Q2" s="481" t="s">
        <v>1870</v>
      </c>
      <c r="R2" s="482" t="s">
        <v>2175</v>
      </c>
      <c r="S2" s="483"/>
      <c r="T2" s="484"/>
    </row>
    <row r="3" ht="19.5" customHeight="1">
      <c r="A3" s="485"/>
      <c r="B3" s="486"/>
      <c r="C3" s="486"/>
      <c r="D3" s="486"/>
      <c r="E3" s="487"/>
      <c r="F3" s="488"/>
      <c r="G3" s="487"/>
      <c r="H3" s="489"/>
      <c r="I3" s="490"/>
      <c r="J3" s="473"/>
      <c r="K3" s="491" t="s">
        <v>1872</v>
      </c>
      <c r="L3" s="492"/>
      <c r="M3" s="492"/>
      <c r="N3" s="492"/>
      <c r="O3" s="493"/>
      <c r="P3" s="473"/>
      <c r="Q3" s="494"/>
      <c r="R3" s="495"/>
      <c r="S3" s="495"/>
      <c r="T3" s="496"/>
    </row>
    <row r="4" ht="19.5" customHeight="1">
      <c r="A4" s="471"/>
      <c r="B4" s="497" t="str">
        <f>IMAGE("https://drive.google.com/uc?id=1a-0xlnZFjhhxI0MS-V-LmLC316Mjmhwu")</f>
        <v/>
      </c>
      <c r="C4" s="477"/>
      <c r="D4" s="498" t="s">
        <v>2176</v>
      </c>
      <c r="E4" s="477"/>
      <c r="F4" s="499" t="str">
        <f>IMAGE("https://drive.google.com/uc?id=1lGnXZXEA1rI3R87Y-bYY0vy7Mpsehqlq")</f>
        <v/>
      </c>
      <c r="G4" s="500" t="s">
        <v>2177</v>
      </c>
      <c r="H4" s="501">
        <v>700000.0</v>
      </c>
      <c r="I4" s="473"/>
      <c r="J4" s="473"/>
      <c r="K4" s="502"/>
      <c r="L4" s="503"/>
      <c r="M4" s="503"/>
      <c r="N4" s="503"/>
      <c r="O4" s="504"/>
      <c r="P4" s="473"/>
      <c r="Q4" s="505" t="s">
        <v>1875</v>
      </c>
      <c r="R4" s="506"/>
      <c r="S4" s="507">
        <v>510.0</v>
      </c>
      <c r="T4" s="508" t="s">
        <v>1876</v>
      </c>
    </row>
    <row r="5" ht="19.5" customHeight="1">
      <c r="B5" s="509"/>
      <c r="C5" s="510"/>
      <c r="D5" s="511"/>
      <c r="E5" s="512"/>
      <c r="F5" s="513"/>
      <c r="G5" s="514" t="s">
        <v>1981</v>
      </c>
      <c r="H5" s="515"/>
      <c r="I5" s="473"/>
      <c r="J5" s="473"/>
      <c r="K5" s="516" t="s">
        <v>1878</v>
      </c>
      <c r="L5" s="492"/>
      <c r="M5" s="517" t="str">
        <f>D4</f>
        <v>РЭЙЗОР</v>
      </c>
      <c r="N5" s="518">
        <f>SUM(O8:O15)</f>
        <v>653842</v>
      </c>
      <c r="O5" s="519"/>
      <c r="P5" s="473"/>
      <c r="Q5" s="520"/>
      <c r="R5" s="521"/>
      <c r="S5" s="522"/>
      <c r="T5" s="523"/>
    </row>
    <row r="6" ht="19.5" customHeight="1">
      <c r="B6" s="509"/>
      <c r="C6" s="510"/>
      <c r="D6" s="524" t="s">
        <v>1981</v>
      </c>
      <c r="E6" s="525"/>
      <c r="F6" s="513"/>
      <c r="G6" s="526" t="s">
        <v>1879</v>
      </c>
      <c r="H6" s="515"/>
      <c r="I6" s="473"/>
      <c r="J6" s="473"/>
      <c r="K6" s="502"/>
      <c r="L6" s="503"/>
      <c r="M6" s="504"/>
      <c r="N6" s="527"/>
      <c r="O6" s="528"/>
      <c r="P6" s="473"/>
      <c r="Q6" s="529" t="s">
        <v>1880</v>
      </c>
      <c r="R6" s="530" t="s">
        <v>1998</v>
      </c>
      <c r="S6" s="531">
        <v>27.6</v>
      </c>
      <c r="T6" s="494"/>
    </row>
    <row r="7" ht="19.5" customHeight="1">
      <c r="B7" s="509"/>
      <c r="C7" s="510"/>
      <c r="D7" s="511"/>
      <c r="E7" s="512"/>
      <c r="F7" s="532"/>
      <c r="G7" s="533"/>
      <c r="H7" s="515"/>
      <c r="I7" s="473"/>
      <c r="L7" s="534" t="s">
        <v>1882</v>
      </c>
      <c r="M7" s="521"/>
      <c r="N7" s="535" t="s">
        <v>1883</v>
      </c>
      <c r="O7" s="536" t="s">
        <v>571</v>
      </c>
      <c r="P7" s="473"/>
      <c r="Q7" s="537" t="s">
        <v>1884</v>
      </c>
      <c r="R7" s="538"/>
      <c r="S7" s="539" t="s">
        <v>1885</v>
      </c>
      <c r="T7" s="540"/>
    </row>
    <row r="8" ht="19.5" customHeight="1">
      <c r="B8" s="509"/>
      <c r="C8" s="510"/>
      <c r="D8" s="541" t="s">
        <v>1886</v>
      </c>
      <c r="E8" s="525"/>
      <c r="F8" s="542" t="str">
        <f>IMAGE("https://drive.google.com/uc?id=1sqQudJZRYqVZo33mGcBU6Irtktxoy26w")</f>
        <v/>
      </c>
      <c r="G8" s="500" t="s">
        <v>2048</v>
      </c>
      <c r="H8" s="501">
        <v>400000.0</v>
      </c>
      <c r="L8" s="543" t="s">
        <v>1888</v>
      </c>
      <c r="M8" s="544"/>
      <c r="N8" s="545">
        <f>IFERROR(O8/N5,"-")</f>
        <v>0.1338121442</v>
      </c>
      <c r="O8" s="546">
        <f>SUMIF(S98:S124, "ОБ. УДАРЫ", M19:M45)</f>
        <v>87492</v>
      </c>
      <c r="P8" s="473"/>
      <c r="Q8" s="547" t="s">
        <v>1889</v>
      </c>
      <c r="R8" s="548"/>
      <c r="S8" s="549" t="s">
        <v>1890</v>
      </c>
      <c r="T8" s="550"/>
    </row>
    <row r="9" ht="19.5" customHeight="1">
      <c r="B9" s="509"/>
      <c r="C9" s="510"/>
      <c r="D9" s="488"/>
      <c r="E9" s="487"/>
      <c r="F9" s="513"/>
      <c r="G9" s="514" t="s">
        <v>2178</v>
      </c>
      <c r="H9" s="515"/>
      <c r="L9" s="551" t="s">
        <v>1891</v>
      </c>
      <c r="M9" s="544"/>
      <c r="N9" s="552">
        <f>IFERROR(O9/N5,"-")</f>
        <v>0</v>
      </c>
      <c r="O9" s="553">
        <f>SUMIF(S98:S124, "ЗАР. УДАРЫ", M19:M45)</f>
        <v>0</v>
      </c>
      <c r="P9" s="473"/>
      <c r="Q9" s="537" t="s">
        <v>1892</v>
      </c>
      <c r="R9" s="538"/>
      <c r="S9" s="539" t="s">
        <v>1893</v>
      </c>
      <c r="T9" s="540"/>
    </row>
    <row r="10" ht="19.5" customHeight="1">
      <c r="B10" s="509"/>
      <c r="C10" s="510"/>
      <c r="D10" s="554"/>
      <c r="E10" s="554"/>
      <c r="F10" s="513"/>
      <c r="G10" s="526" t="s">
        <v>2179</v>
      </c>
      <c r="H10" s="515"/>
      <c r="L10" s="543" t="s">
        <v>1895</v>
      </c>
      <c r="M10" s="544"/>
      <c r="N10" s="545">
        <f>IFERROR(O10/N5,"-")</f>
        <v>0</v>
      </c>
      <c r="O10" s="546">
        <f>SUMIF(S98:S124, "ПРЫЖКИ", M19:M45)</f>
        <v>0</v>
      </c>
      <c r="P10" s="473"/>
      <c r="Q10" s="555" t="s">
        <v>1896</v>
      </c>
      <c r="R10" s="556"/>
      <c r="S10" s="557" t="s">
        <v>1897</v>
      </c>
      <c r="T10" s="558"/>
    </row>
    <row r="11" ht="19.5" customHeight="1">
      <c r="B11" s="488"/>
      <c r="C11" s="487"/>
      <c r="D11" s="554"/>
      <c r="E11" s="554"/>
      <c r="F11" s="532"/>
      <c r="G11" s="533"/>
      <c r="H11" s="515"/>
      <c r="L11" s="551" t="s">
        <v>1898</v>
      </c>
      <c r="M11" s="544"/>
      <c r="N11" s="552">
        <f>IFERROR(O11/N5,"-")</f>
        <v>0.2178813842</v>
      </c>
      <c r="O11" s="553">
        <f>SUMIF(S98:S124, "ЕШКА", M19:M45)</f>
        <v>142460</v>
      </c>
      <c r="P11" s="473"/>
      <c r="Q11" s="537" t="s">
        <v>1899</v>
      </c>
      <c r="R11" s="559"/>
      <c r="S11" s="560">
        <v>6.0</v>
      </c>
      <c r="T11" s="561" t="b">
        <v>0</v>
      </c>
    </row>
    <row r="12" ht="19.5" customHeight="1">
      <c r="B12" s="562" t="s">
        <v>1900</v>
      </c>
      <c r="C12" s="563"/>
      <c r="D12" s="564"/>
      <c r="E12" s="554"/>
      <c r="F12" s="542" t="str">
        <f>IMAGE("https://drive.google.com/uc?id=1ZJW1dgMcxGRR5mvedfXc_WDxG1Z6TAgw")</f>
        <v/>
      </c>
      <c r="G12" s="500" t="s">
        <v>2180</v>
      </c>
      <c r="H12" s="501">
        <v>250000.0</v>
      </c>
      <c r="L12" s="543" t="s">
        <v>1902</v>
      </c>
      <c r="M12" s="544"/>
      <c r="N12" s="545">
        <f>IFERROR(O12/N5,"-")</f>
        <v>0.2793335393</v>
      </c>
      <c r="O12" s="546">
        <f>SUMIF(S98:S124, "УЛЬТА", M19:M45)</f>
        <v>182640</v>
      </c>
      <c r="P12" s="473"/>
      <c r="Q12" s="547" t="s">
        <v>1903</v>
      </c>
      <c r="R12" s="565"/>
      <c r="S12" s="566"/>
      <c r="T12" s="567"/>
    </row>
    <row r="13" ht="19.5" customHeight="1">
      <c r="B13" s="568" t="s">
        <v>1904</v>
      </c>
      <c r="C13" s="569" t="b">
        <v>0</v>
      </c>
      <c r="D13" s="570"/>
      <c r="E13" s="554"/>
      <c r="F13" s="513"/>
      <c r="G13" s="514" t="s">
        <v>2181</v>
      </c>
      <c r="H13" s="515"/>
      <c r="L13" s="551" t="s">
        <v>1906</v>
      </c>
      <c r="M13" s="544"/>
      <c r="N13" s="552">
        <f>IFERROR(O13/N5,"-")</f>
        <v>0.03916848413</v>
      </c>
      <c r="O13" s="553">
        <f>SUMIF(S98:S124, "УНИК. УДАР", M19:M45)</f>
        <v>25610</v>
      </c>
      <c r="P13" s="473"/>
      <c r="Q13" s="537" t="s">
        <v>1907</v>
      </c>
      <c r="R13" s="559"/>
      <c r="S13" s="571">
        <v>6.0</v>
      </c>
      <c r="T13" s="567"/>
    </row>
    <row r="14" ht="19.5" customHeight="1">
      <c r="B14" s="572" t="s">
        <v>1908</v>
      </c>
      <c r="C14" s="573" t="b">
        <v>0</v>
      </c>
      <c r="D14" s="570"/>
      <c r="E14" s="554"/>
      <c r="F14" s="513"/>
      <c r="G14" s="526" t="s">
        <v>1894</v>
      </c>
      <c r="H14" s="515"/>
      <c r="L14" s="543" t="s">
        <v>1909</v>
      </c>
      <c r="M14" s="544"/>
      <c r="N14" s="545">
        <f>IFERROR(O14/N5,"-")</f>
        <v>0.3298044482</v>
      </c>
      <c r="O14" s="546">
        <f>SUM(M51:M67)</f>
        <v>215640</v>
      </c>
      <c r="P14" s="473"/>
      <c r="Q14" s="547" t="s">
        <v>1910</v>
      </c>
      <c r="R14" s="565"/>
      <c r="S14" s="566"/>
      <c r="T14" s="574" t="b">
        <v>1</v>
      </c>
    </row>
    <row r="15" ht="19.5" customHeight="1">
      <c r="B15" s="575" t="s">
        <v>1911</v>
      </c>
      <c r="C15" s="576" t="b">
        <v>0</v>
      </c>
      <c r="D15" s="577"/>
      <c r="E15" s="554"/>
      <c r="F15" s="578"/>
      <c r="G15" s="473"/>
      <c r="H15" s="473"/>
      <c r="L15" s="551" t="s">
        <v>1912</v>
      </c>
      <c r="M15" s="544"/>
      <c r="N15" s="579">
        <f>IFERROR(O15/N5,"-")</f>
        <v>0</v>
      </c>
      <c r="O15" s="580">
        <f>SUM(M46)</f>
        <v>0</v>
      </c>
      <c r="P15" s="473"/>
      <c r="Q15" s="537" t="s">
        <v>1913</v>
      </c>
      <c r="R15" s="559"/>
      <c r="S15" s="571">
        <v>6.0</v>
      </c>
      <c r="T15" s="567"/>
    </row>
    <row r="16" ht="19.5" customHeight="1">
      <c r="B16" s="572" t="s">
        <v>1914</v>
      </c>
      <c r="C16" s="573" t="b">
        <v>0</v>
      </c>
      <c r="D16" s="581" t="b">
        <v>0</v>
      </c>
      <c r="E16" s="554"/>
      <c r="F16" s="473"/>
      <c r="G16" s="473"/>
      <c r="H16" s="582" t="s">
        <v>1915</v>
      </c>
      <c r="I16" s="583"/>
      <c r="J16" s="583"/>
      <c r="K16" s="583"/>
      <c r="L16" s="583"/>
      <c r="M16" s="584"/>
      <c r="N16" s="585" t="s">
        <v>572</v>
      </c>
      <c r="O16" s="586"/>
      <c r="P16" s="473"/>
      <c r="Q16" s="587" t="s">
        <v>1916</v>
      </c>
      <c r="R16" s="588">
        <v>50.0</v>
      </c>
      <c r="S16" s="589"/>
      <c r="T16" s="496"/>
    </row>
    <row r="17" ht="19.5" customHeight="1">
      <c r="B17" s="590" t="s">
        <v>1917</v>
      </c>
      <c r="C17" s="591" t="b">
        <v>0</v>
      </c>
      <c r="D17" s="592" t="s">
        <v>1918</v>
      </c>
      <c r="E17" s="554"/>
      <c r="F17" s="554"/>
      <c r="G17" s="473"/>
      <c r="H17" s="593"/>
      <c r="I17" s="594"/>
      <c r="J17" s="594"/>
      <c r="K17" s="594"/>
      <c r="L17" s="594"/>
      <c r="M17" s="595"/>
      <c r="N17" s="596" t="s">
        <v>1919</v>
      </c>
      <c r="O17" s="597">
        <f t="shared" ref="O17:O19" si="1">L126</f>
        <v>0</v>
      </c>
      <c r="P17" s="473"/>
      <c r="Q17" s="537" t="s">
        <v>1920</v>
      </c>
      <c r="R17" s="598"/>
      <c r="S17" s="599" t="s">
        <v>1921</v>
      </c>
      <c r="T17" s="600"/>
    </row>
    <row r="18" ht="19.5" customHeight="1">
      <c r="B18" s="601" t="s">
        <v>1922</v>
      </c>
      <c r="C18" s="602" t="s">
        <v>1923</v>
      </c>
      <c r="D18" s="603" t="s">
        <v>1924</v>
      </c>
      <c r="E18" s="554"/>
      <c r="F18" s="554"/>
      <c r="G18" s="473"/>
      <c r="H18" s="604" t="s">
        <v>1925</v>
      </c>
      <c r="I18" s="605" t="s">
        <v>1926</v>
      </c>
      <c r="J18" s="606" t="s">
        <v>78</v>
      </c>
      <c r="K18" s="607" t="s">
        <v>1927</v>
      </c>
      <c r="L18" s="606" t="s">
        <v>1928</v>
      </c>
      <c r="M18" s="608" t="s">
        <v>1929</v>
      </c>
      <c r="N18" s="573" t="s">
        <v>1919</v>
      </c>
      <c r="O18" s="609">
        <f t="shared" si="1"/>
        <v>0</v>
      </c>
      <c r="P18" s="473"/>
      <c r="Q18" s="610" t="s">
        <v>1930</v>
      </c>
      <c r="R18" s="254"/>
      <c r="S18" s="611" t="s">
        <v>1931</v>
      </c>
      <c r="T18" s="612"/>
    </row>
    <row r="19" ht="19.5" customHeight="1">
      <c r="B19" s="613"/>
      <c r="C19" s="486"/>
      <c r="D19" s="614"/>
      <c r="E19" s="554"/>
      <c r="F19" s="554"/>
      <c r="G19" s="473"/>
      <c r="H19" s="615" t="str">
        <f t="shared" ref="H19:H45" si="2">S98</f>
        <v>ОБ. УДАРЫ</v>
      </c>
      <c r="I19" s="616">
        <f t="shared" ref="I19:I45" si="3">L98</f>
        <v>7451</v>
      </c>
      <c r="J19" s="617" t="s">
        <v>1918</v>
      </c>
      <c r="K19" s="618">
        <v>4.0</v>
      </c>
      <c r="L19" s="619" t="b">
        <v>1</v>
      </c>
      <c r="M19" s="620">
        <f t="array" ref="M19">ROUND((CHOOSE(MATCH(LOWER(TRIM(J19)),{"ПАР";"ОБ.ПАР";"ТАЯНИЕ";"ОБ.ТАЯНИЕ";"ОБОСТР.";"РАЗРАСТ.";"НЕТ"}, 0), G98,G99,G100,G101,100%,100%,100%)*L98)*K19,0)</f>
        <v>29804</v>
      </c>
      <c r="N19" s="621" t="s">
        <v>1932</v>
      </c>
      <c r="O19" s="622">
        <f t="shared" si="1"/>
        <v>0</v>
      </c>
      <c r="P19" s="473"/>
      <c r="Q19" s="623" t="s">
        <v>1933</v>
      </c>
      <c r="R19" s="624"/>
      <c r="S19" s="625" t="s">
        <v>1934</v>
      </c>
      <c r="T19" s="626"/>
    </row>
    <row r="20" ht="19.5" customHeight="1">
      <c r="B20" s="473"/>
      <c r="C20" s="473"/>
      <c r="D20" s="473"/>
      <c r="E20" s="473"/>
      <c r="F20" s="473"/>
      <c r="G20" s="473"/>
      <c r="H20" s="627" t="str">
        <f t="shared" si="2"/>
        <v>ОБ. УДАРЫ</v>
      </c>
      <c r="I20" s="628">
        <f t="shared" si="3"/>
        <v>6405</v>
      </c>
      <c r="J20" s="629" t="s">
        <v>1918</v>
      </c>
      <c r="K20" s="630">
        <v>4.0</v>
      </c>
      <c r="L20" s="631" t="b">
        <v>1</v>
      </c>
      <c r="M20" s="632">
        <f t="array" ref="M20">ROUND((CHOOSE(MATCH(LOWER(TRIM(J20)),{"ПАР";"ОБ.ПАР";"ТАЯНИЕ";"ОБ.ТАЯНИЕ";"ОБОСТР.";"РАЗРАСТ.";"НЕТ"}, 0), G98,G99,G100,G101,100%,100%,100%)*I20)*K20,0)</f>
        <v>25620</v>
      </c>
      <c r="N20" s="473"/>
      <c r="O20" s="473"/>
      <c r="P20" s="473"/>
      <c r="Q20" s="587" t="s">
        <v>1935</v>
      </c>
      <c r="R20" s="633"/>
      <c r="S20" s="634" t="s">
        <v>1936</v>
      </c>
      <c r="T20" s="612"/>
    </row>
    <row r="21" ht="19.5" customHeight="1">
      <c r="B21" s="635" t="s">
        <v>1937</v>
      </c>
      <c r="C21" s="636"/>
      <c r="D21" s="636"/>
      <c r="E21" s="637"/>
      <c r="F21" s="473"/>
      <c r="G21" s="473"/>
      <c r="H21" s="627" t="str">
        <f t="shared" si="2"/>
        <v>ОБ. УДАРЫ</v>
      </c>
      <c r="I21" s="616">
        <f t="shared" si="3"/>
        <v>8017</v>
      </c>
      <c r="J21" s="638" t="s">
        <v>1918</v>
      </c>
      <c r="K21" s="639">
        <v>4.0</v>
      </c>
      <c r="L21" s="640" t="b">
        <v>1</v>
      </c>
      <c r="M21" s="641">
        <f t="array" ref="M21">ROUND((CHOOSE(MATCH(LOWER(TRIM(J21)),{"ПАР";"ОБ.ПАР";"ТАЯНИЕ";"ОБ.ТАЯНИЕ";"ОБОСТР.";"РАЗРАСТ.";"НЕТ"}, 0), G98,G99,G100,G101,100%,100%,100%)*I21)*K21,0)</f>
        <v>32068</v>
      </c>
      <c r="N21" s="473"/>
      <c r="O21" s="642" t="s">
        <v>1938</v>
      </c>
      <c r="P21" s="643"/>
      <c r="Q21" s="644" t="s">
        <v>1939</v>
      </c>
      <c r="R21" s="645"/>
      <c r="S21" s="646" t="s">
        <v>1940</v>
      </c>
      <c r="T21" s="626"/>
    </row>
    <row r="22" ht="19.5" customHeight="1">
      <c r="B22" s="647"/>
      <c r="C22" s="648"/>
      <c r="D22" s="648"/>
      <c r="E22" s="649"/>
      <c r="F22" s="473"/>
      <c r="G22" s="473"/>
      <c r="H22" s="627" t="str">
        <f t="shared" si="2"/>
        <v>ОБ. УДАРЫ</v>
      </c>
      <c r="I22" s="628">
        <f t="shared" si="3"/>
        <v>10588</v>
      </c>
      <c r="J22" s="629" t="s">
        <v>1918</v>
      </c>
      <c r="K22" s="630">
        <v>0.0</v>
      </c>
      <c r="L22" s="631" t="b">
        <v>0</v>
      </c>
      <c r="M22" s="632">
        <f t="array" ref="M22">ROUND((CHOOSE(MATCH(LOWER(TRIM(J22)),{"ПАР";"ОБ.ПАР";"ТАЯНИЕ";"ОБ.ТАЯНИЕ";"ОБОСТР.";"РАЗРАСТ.";"НЕТ"}, 0), G98,G99,G100,G101,100%,100%,100%)*I22)*K22,0)</f>
        <v>0</v>
      </c>
      <c r="N22" s="473"/>
      <c r="O22" s="650" t="s">
        <v>1941</v>
      </c>
      <c r="P22" s="651"/>
      <c r="Q22" s="652" t="s">
        <v>1942</v>
      </c>
      <c r="R22" s="156"/>
      <c r="S22" s="653" t="s">
        <v>1943</v>
      </c>
      <c r="T22" s="654"/>
    </row>
    <row r="23" ht="19.5" customHeight="1">
      <c r="B23" s="655" t="s">
        <v>1944</v>
      </c>
      <c r="C23" s="544"/>
      <c r="D23" s="656">
        <f t="array" ref="D23">CHOOSE(MATCH(LOWER(TRIM(B23)),{"УРОВЕНЬ 90";"УРОВЕНЬ 80";"УРОВЕНЬ 95";"УРОВЕНЬ 100"}, 0), 90,80,95,100)</f>
        <v>90</v>
      </c>
      <c r="E23" s="657"/>
      <c r="F23" s="473"/>
      <c r="G23" s="473"/>
      <c r="H23" s="627" t="str">
        <f t="shared" si="2"/>
        <v>ЗАР. УДАРЫ</v>
      </c>
      <c r="I23" s="616">
        <f t="shared" si="3"/>
        <v>0</v>
      </c>
      <c r="J23" s="638" t="s">
        <v>1918</v>
      </c>
      <c r="K23" s="639"/>
      <c r="L23" s="640" t="b">
        <v>0</v>
      </c>
      <c r="M23" s="641">
        <f t="array" ref="M23">ROUND((CHOOSE(MATCH(LOWER(TRIM(J23)),{"ПАР";"ОБ.ПАР";"ТАЯНИЕ";"ОБ.ТАЯНИЕ";"ОБОСТР.";"РАЗРАСТ.";"НЕТ"}, 0), G98,G99,G100,G101,100%,100%,100%)*I23)*K23,0)</f>
        <v>0</v>
      </c>
      <c r="N23" s="473"/>
      <c r="O23" s="658" t="s">
        <v>1945</v>
      </c>
      <c r="P23" s="659"/>
      <c r="Q23" s="644" t="s">
        <v>1946</v>
      </c>
      <c r="R23" s="660"/>
      <c r="S23" s="473"/>
      <c r="T23" s="473"/>
    </row>
    <row r="24" ht="19.5" customHeight="1">
      <c r="B24" s="661"/>
      <c r="C24" s="521"/>
      <c r="D24" s="662"/>
      <c r="E24" s="663"/>
      <c r="F24" s="473"/>
      <c r="G24" s="473"/>
      <c r="H24" s="627" t="str">
        <f t="shared" si="2"/>
        <v>ЕШКА</v>
      </c>
      <c r="I24" s="628">
        <f t="shared" si="3"/>
        <v>35615</v>
      </c>
      <c r="J24" s="629" t="s">
        <v>2182</v>
      </c>
      <c r="K24" s="630">
        <v>4.0</v>
      </c>
      <c r="L24" s="631" t="b">
        <v>1</v>
      </c>
      <c r="M24" s="632">
        <f t="array" ref="M24">ROUND((CHOOSE(MATCH(LOWER(TRIM(J24)),{"ПАР";"ОБ.ПАР";"ТАЯНИЕ";"ОБ.ТАЯНИЕ";"ОБОСТР.";"РАЗРАСТ.";"НЕТ"}, 0), G98,G99,G100,G101,100%,100%,100%)*I24)*K24,0)</f>
        <v>142460</v>
      </c>
      <c r="N24" s="473"/>
      <c r="O24" s="650" t="s">
        <v>1947</v>
      </c>
      <c r="P24" s="651"/>
      <c r="Q24" s="652" t="s">
        <v>1948</v>
      </c>
      <c r="R24" s="664"/>
      <c r="S24" s="473"/>
      <c r="T24" s="473"/>
    </row>
    <row r="25" ht="19.5" customHeight="1">
      <c r="B25" s="665" t="s">
        <v>1949</v>
      </c>
      <c r="C25" s="662"/>
      <c r="D25" s="666">
        <v>234.0</v>
      </c>
      <c r="E25" s="667"/>
      <c r="F25" s="473"/>
      <c r="G25" s="473"/>
      <c r="H25" s="627" t="str">
        <f t="shared" si="2"/>
        <v>ЕШКА</v>
      </c>
      <c r="I25" s="616">
        <f t="shared" si="3"/>
        <v>32117</v>
      </c>
      <c r="J25" s="638" t="s">
        <v>1918</v>
      </c>
      <c r="K25" s="639">
        <v>0.0</v>
      </c>
      <c r="L25" s="640" t="b">
        <v>0</v>
      </c>
      <c r="M25" s="641">
        <f t="array" ref="M25">ROUND((CHOOSE(MATCH(LOWER(TRIM(J25)),{"ПАР";"ОБ.ПАР";"ТАЯНИЕ";"ОБ.ТАЯНИЕ";"ОБОСТР.";"РАЗРАСТ.";"НЕТ"}, 0), G98,G99,G100,G101,100%,100%,100%)*I25)*K25,0)</f>
        <v>0</v>
      </c>
      <c r="N25" s="473"/>
      <c r="O25" s="668" t="s">
        <v>1950</v>
      </c>
      <c r="P25" s="669"/>
      <c r="Q25" s="670" t="s">
        <v>1951</v>
      </c>
      <c r="R25" s="671"/>
      <c r="S25" s="473"/>
      <c r="T25" s="473"/>
    </row>
    <row r="26" ht="19.5" customHeight="1">
      <c r="B26" s="672" t="s">
        <v>1952</v>
      </c>
      <c r="C26" s="673">
        <v>11962.0</v>
      </c>
      <c r="D26" s="674" t="s">
        <v>1953</v>
      </c>
      <c r="E26" s="675">
        <v>751.0</v>
      </c>
      <c r="F26" s="473"/>
      <c r="G26" s="473"/>
      <c r="H26" s="627" t="str">
        <f t="shared" si="2"/>
        <v>УЛЬТА</v>
      </c>
      <c r="I26" s="628">
        <f t="shared" si="3"/>
        <v>0</v>
      </c>
      <c r="J26" s="629" t="s">
        <v>1918</v>
      </c>
      <c r="K26" s="630"/>
      <c r="L26" s="631" t="b">
        <v>0</v>
      </c>
      <c r="M26" s="632">
        <f t="array" ref="M26">ROUND((CHOOSE(MATCH(LOWER(TRIM(J26)),{"ПАР";"ОБ.ПАР";"ТАЯНИЕ";"ОБ.ТАЯНИЕ";"ОБОСТР.";"РАЗРАСТ.";"НЕТ"}, 0), G98,G99,G100,G101,100%,100%,100%)*I26)*K26,0)</f>
        <v>0</v>
      </c>
      <c r="N26" s="473"/>
      <c r="O26" s="473"/>
      <c r="P26" s="473"/>
      <c r="Q26" s="473"/>
      <c r="R26" s="473"/>
      <c r="S26" s="473"/>
      <c r="T26" s="473"/>
    </row>
    <row r="27" ht="19.5" customHeight="1">
      <c r="B27" s="676" t="s">
        <v>1954</v>
      </c>
      <c r="C27" s="677"/>
      <c r="D27" s="677"/>
      <c r="E27" s="678"/>
      <c r="F27" s="473"/>
      <c r="G27" s="473"/>
      <c r="H27" s="627" t="str">
        <f t="shared" si="2"/>
        <v>УЛЬТА</v>
      </c>
      <c r="I27" s="616">
        <f t="shared" si="3"/>
        <v>31364</v>
      </c>
      <c r="J27" s="638" t="s">
        <v>2182</v>
      </c>
      <c r="K27" s="639">
        <v>1.0</v>
      </c>
      <c r="L27" s="640" t="b">
        <v>1</v>
      </c>
      <c r="M27" s="641">
        <f t="array" ref="M27">ROUND((CHOOSE(MATCH(LOWER(TRIM(J27)),{"ПАР";"ОБ.ПАР";"ТАЯНИЕ";"ОБ.ТАЯНИЕ";"ОБОСТР.";"РАЗРАСТ.";"НЕТ"}, 0), G98,G99,G100,G101,100%,100%,100%)*I27)*K27,0)</f>
        <v>31364</v>
      </c>
      <c r="N27" s="473"/>
      <c r="O27" s="679" t="s">
        <v>1955</v>
      </c>
      <c r="P27" s="680"/>
      <c r="Q27" s="681"/>
      <c r="R27" s="682" t="s">
        <v>2183</v>
      </c>
      <c r="S27" s="680"/>
      <c r="T27" s="681"/>
    </row>
    <row r="28" ht="19.5" customHeight="1">
      <c r="B28" s="683" t="s">
        <v>1956</v>
      </c>
      <c r="C28" s="684"/>
      <c r="D28" s="685" t="s">
        <v>1957</v>
      </c>
      <c r="E28" s="686"/>
      <c r="F28" s="473"/>
      <c r="G28" s="473"/>
      <c r="H28" s="627" t="str">
        <f t="shared" si="2"/>
        <v>УЛЬТА</v>
      </c>
      <c r="I28" s="628">
        <f t="shared" si="3"/>
        <v>8053</v>
      </c>
      <c r="J28" s="629" t="s">
        <v>1918</v>
      </c>
      <c r="K28" s="630">
        <v>4.0</v>
      </c>
      <c r="L28" s="631" t="b">
        <v>1</v>
      </c>
      <c r="M28" s="632">
        <f t="array" ref="M28">ROUND((CHOOSE(MATCH(LOWER(TRIM(J28)),{"ПАР";"ОБ.ПАР";"ТАЯНИЕ";"ОБ.ТАЯНИЕ";"ОБОСТР.";"РАЗРАСТ.";"НЕТ"}, 0), G98,G99,G100,G101,100%,100%,100%)*I28)*K28,0)</f>
        <v>32212</v>
      </c>
      <c r="N28" s="473"/>
      <c r="O28" s="687"/>
      <c r="P28" s="688"/>
      <c r="Q28" s="373"/>
      <c r="R28" s="688"/>
      <c r="S28" s="688"/>
      <c r="T28" s="373"/>
    </row>
    <row r="29" ht="19.5" customHeight="1">
      <c r="B29" s="689" t="s">
        <v>1889</v>
      </c>
      <c r="C29" s="690"/>
      <c r="D29" s="549" t="s">
        <v>1958</v>
      </c>
      <c r="E29" s="691"/>
      <c r="F29" s="473"/>
      <c r="G29" s="473"/>
      <c r="H29" s="627" t="str">
        <f t="shared" si="2"/>
        <v>УЛЬТА</v>
      </c>
      <c r="I29" s="616">
        <f t="shared" si="3"/>
        <v>21374</v>
      </c>
      <c r="J29" s="638" t="s">
        <v>2182</v>
      </c>
      <c r="K29" s="639">
        <v>4.0</v>
      </c>
      <c r="L29" s="640" t="b">
        <v>1</v>
      </c>
      <c r="M29" s="641">
        <f t="array" ref="M29">ROUND((CHOOSE(MATCH(LOWER(TRIM(J29)),{"ПАР";"ОБ.ПАР";"ТАЯНИЕ";"ОБ.ТАЯНИЕ";"ОБОСТР.";"РАЗРАСТ.";"НЕТ"}, 0), G98,G99,G100,G101,100%,100%,100%)*I29)*K29,0)</f>
        <v>85496</v>
      </c>
      <c r="N29" s="473"/>
      <c r="O29" s="692" t="s">
        <v>1959</v>
      </c>
      <c r="P29" s="565"/>
      <c r="Q29" s="693" t="s">
        <v>1884</v>
      </c>
      <c r="R29" s="548"/>
      <c r="S29" s="549" t="s">
        <v>1885</v>
      </c>
      <c r="T29" s="694"/>
    </row>
    <row r="30" ht="19.5" customHeight="1">
      <c r="B30" s="695" t="s">
        <v>1892</v>
      </c>
      <c r="C30" s="696"/>
      <c r="D30" s="697" t="s">
        <v>1960</v>
      </c>
      <c r="E30" s="698"/>
      <c r="F30" s="473"/>
      <c r="G30" s="473"/>
      <c r="H30" s="627" t="str">
        <f t="shared" si="2"/>
        <v>УЛЬТА</v>
      </c>
      <c r="I30" s="628">
        <f t="shared" si="3"/>
        <v>8392</v>
      </c>
      <c r="J30" s="629" t="s">
        <v>1918</v>
      </c>
      <c r="K30" s="630">
        <v>4.0</v>
      </c>
      <c r="L30" s="631" t="b">
        <v>1</v>
      </c>
      <c r="M30" s="632">
        <f t="array" ref="M30">ROUND((CHOOSE(MATCH(LOWER(TRIM(J30)),{"ПАР";"ОБ.ПАР";"ТАЯНИЕ";"ОБ.ТАЯНИЕ";"ОБОСТР.";"РАЗРАСТ.";"НЕТ"}, 0), G98,G99,G100,G101,100%,100%,100%)*I30)*K30,0)</f>
        <v>33568</v>
      </c>
      <c r="N30" s="473"/>
      <c r="O30" s="699" t="s">
        <v>1961</v>
      </c>
      <c r="P30" s="700"/>
      <c r="Q30" s="701" t="s">
        <v>1889</v>
      </c>
      <c r="R30" s="702"/>
      <c r="S30" s="703" t="s">
        <v>1890</v>
      </c>
      <c r="T30" s="704"/>
    </row>
    <row r="31" ht="19.5" customHeight="1">
      <c r="B31" s="705" t="s">
        <v>1962</v>
      </c>
      <c r="C31" s="706"/>
      <c r="D31" s="549" t="s">
        <v>1963</v>
      </c>
      <c r="E31" s="691"/>
      <c r="F31" s="515"/>
      <c r="G31" s="473"/>
      <c r="H31" s="627" t="str">
        <f t="shared" si="2"/>
        <v>УЛЬТА</v>
      </c>
      <c r="I31" s="616">
        <f t="shared" si="3"/>
        <v>9934</v>
      </c>
      <c r="J31" s="638" t="s">
        <v>1918</v>
      </c>
      <c r="K31" s="639">
        <v>0.0</v>
      </c>
      <c r="L31" s="640" t="b">
        <v>0</v>
      </c>
      <c r="M31" s="641">
        <f t="array" ref="M31">ROUND((CHOOSE(MATCH(LOWER(TRIM(J31)),{"ПАР";"ОБ.ПАР";"ТАЯНИЕ";"ОБ.ТАЯНИЕ";"ОБОСТР.";"РАЗРАСТ.";"НЕТ"}, 0), G98,G99,G100,G101,100%,100%,100%)*I31)*K31,0)</f>
        <v>0</v>
      </c>
      <c r="N31" s="473"/>
      <c r="O31" s="692" t="s">
        <v>1964</v>
      </c>
      <c r="P31" s="707">
        <v>20.0</v>
      </c>
      <c r="Q31" s="693" t="s">
        <v>1892</v>
      </c>
      <c r="R31" s="548"/>
      <c r="S31" s="549" t="s">
        <v>1893</v>
      </c>
      <c r="T31" s="694"/>
    </row>
    <row r="32" ht="19.5" customHeight="1">
      <c r="B32" s="695" t="s">
        <v>1890</v>
      </c>
      <c r="C32" s="696"/>
      <c r="D32" s="697" t="s">
        <v>1965</v>
      </c>
      <c r="E32" s="698"/>
      <c r="F32" s="515"/>
      <c r="G32" s="473"/>
      <c r="H32" s="627" t="str">
        <f t="shared" si="2"/>
        <v>УНИК. УДАР</v>
      </c>
      <c r="I32" s="628">
        <f t="shared" si="3"/>
        <v>0</v>
      </c>
      <c r="J32" s="629" t="s">
        <v>1918</v>
      </c>
      <c r="K32" s="630"/>
      <c r="L32" s="631" t="b">
        <v>0</v>
      </c>
      <c r="M32" s="632">
        <f t="array" ref="M32">ROUND((CHOOSE(MATCH(LOWER(TRIM(J32)),{"ПАР";"ОБ.ПАР";"ТАЯНИЕ";"ОБ.ТАЯНИЕ";"ОБОСТР.";"РАЗРАСТ.";"НЕТ"}, 0), G98,G99,G100,G101,100%,100%,100%)*I32)*K32,0)</f>
        <v>0</v>
      </c>
      <c r="N32" s="473"/>
      <c r="O32" s="699" t="s">
        <v>1934</v>
      </c>
      <c r="P32" s="700"/>
      <c r="Q32" s="701" t="s">
        <v>1966</v>
      </c>
      <c r="R32" s="708"/>
      <c r="S32" s="703" t="s">
        <v>1967</v>
      </c>
      <c r="T32" s="709"/>
    </row>
    <row r="33" ht="19.5" customHeight="1">
      <c r="B33" s="689" t="s">
        <v>1968</v>
      </c>
      <c r="C33" s="690"/>
      <c r="D33" s="549" t="s">
        <v>1969</v>
      </c>
      <c r="E33" s="691"/>
      <c r="F33" s="515"/>
      <c r="G33" s="473"/>
      <c r="H33" s="627" t="str">
        <f t="shared" si="2"/>
        <v>УНИК. УДАР</v>
      </c>
      <c r="I33" s="616">
        <f t="shared" si="3"/>
        <v>7683</v>
      </c>
      <c r="J33" s="638" t="s">
        <v>2182</v>
      </c>
      <c r="K33" s="639">
        <v>2.0</v>
      </c>
      <c r="L33" s="640" t="b">
        <v>1</v>
      </c>
      <c r="M33" s="641">
        <f t="array" ref="M33">ROUND((CHOOSE(MATCH(LOWER(TRIM(J33)),{"ПАР";"ОБ.ПАР";"ТАЯНИЕ";"ОБ.ТАЯНИЕ";"ОБОСТР.";"РАЗРАСТ.";"НЕТ"}, 0), G98,G99,G100,G101,100%,100%,100%)*I33)*K33,0)</f>
        <v>15366</v>
      </c>
      <c r="N33" s="515"/>
      <c r="O33" s="692" t="s">
        <v>1970</v>
      </c>
      <c r="P33" s="707"/>
      <c r="Q33" s="710" t="s">
        <v>1971</v>
      </c>
      <c r="R33" s="711">
        <v>4780.0</v>
      </c>
      <c r="S33" s="712" t="s">
        <v>1972</v>
      </c>
      <c r="T33" s="713">
        <v>311.0</v>
      </c>
    </row>
    <row r="34" ht="19.5" customHeight="1">
      <c r="B34" s="695" t="s">
        <v>1967</v>
      </c>
      <c r="C34" s="714"/>
      <c r="D34" s="697" t="s">
        <v>1973</v>
      </c>
      <c r="E34" s="698"/>
      <c r="F34" s="473"/>
      <c r="G34" s="473"/>
      <c r="H34" s="627" t="str">
        <f t="shared" si="2"/>
        <v>УНИК. УДАР</v>
      </c>
      <c r="I34" s="628">
        <f t="shared" si="3"/>
        <v>0</v>
      </c>
      <c r="J34" s="629" t="s">
        <v>1918</v>
      </c>
      <c r="K34" s="630"/>
      <c r="L34" s="631" t="b">
        <v>0</v>
      </c>
      <c r="M34" s="632">
        <f t="array" ref="M34">ROUND((CHOOSE(MATCH(LOWER(TRIM(J34)),{"ПАР";"ОБ.ПАР";"ТАЯНИЕ";"ОБ.ТАЯНИЕ";"ОБОСТР.";"РАЗРАСТ.";"НЕТ"}, 0), G98,G99,G100,G101,100%,100%,100%)*I34)*K34,0)</f>
        <v>0</v>
      </c>
      <c r="N34" s="473"/>
      <c r="O34" s="699" t="s">
        <v>1974</v>
      </c>
      <c r="P34" s="700">
        <v>40.0</v>
      </c>
      <c r="Q34" s="715" t="s">
        <v>1975</v>
      </c>
      <c r="R34" s="716"/>
      <c r="S34" s="717" t="s">
        <v>1897</v>
      </c>
      <c r="T34" s="294"/>
    </row>
    <row r="35" ht="19.5" customHeight="1">
      <c r="B35" s="718" t="s">
        <v>1933</v>
      </c>
      <c r="C35" s="719"/>
      <c r="D35" s="720" t="s">
        <v>1896</v>
      </c>
      <c r="E35" s="721">
        <v>30.0</v>
      </c>
      <c r="F35" s="473"/>
      <c r="G35" s="473"/>
      <c r="H35" s="627" t="str">
        <f t="shared" si="2"/>
        <v>УНИК. УДАР</v>
      </c>
      <c r="I35" s="616">
        <f t="shared" si="3"/>
        <v>5122</v>
      </c>
      <c r="J35" s="638" t="s">
        <v>1918</v>
      </c>
      <c r="K35" s="639">
        <v>2.0</v>
      </c>
      <c r="L35" s="640" t="b">
        <v>1</v>
      </c>
      <c r="M35" s="641">
        <f t="array" ref="M35">ROUND((CHOOSE(MATCH(LOWER(TRIM(J35)),{"ПАР";"ОБ.ПАР";"ТАЯНИЕ";"ОБ.ТАЯНИЕ";"ОБОСТР.";"РАЗРАСТ.";"НЕТ"}, 0), G98,G99,G100,G101,100%,100%,100%)*I35)*K35,0)</f>
        <v>10244</v>
      </c>
      <c r="N35" s="473"/>
      <c r="O35" s="692" t="s">
        <v>1976</v>
      </c>
      <c r="P35" s="707"/>
      <c r="Q35" s="701" t="s">
        <v>1896</v>
      </c>
      <c r="R35" s="722"/>
      <c r="S35" s="723">
        <v>5.0</v>
      </c>
      <c r="T35" s="724" t="b">
        <v>1</v>
      </c>
    </row>
    <row r="36" ht="19.5" customHeight="1">
      <c r="B36" s="725"/>
      <c r="C36" s="473"/>
      <c r="D36" s="473"/>
      <c r="E36" s="473"/>
      <c r="F36" s="473"/>
      <c r="G36" s="473"/>
      <c r="H36" s="627" t="str">
        <f t="shared" si="2"/>
        <v>УНИК. УДАР</v>
      </c>
      <c r="I36" s="628">
        <f t="shared" si="3"/>
        <v>0</v>
      </c>
      <c r="J36" s="629" t="s">
        <v>1918</v>
      </c>
      <c r="K36" s="630"/>
      <c r="L36" s="631" t="b">
        <v>0</v>
      </c>
      <c r="M36" s="632">
        <f t="array" ref="M36">ROUND((CHOOSE(MATCH(LOWER(TRIM(J36)),{"ПАР";"ОБ.ПАР";"ТАЯНИЕ";"ОБ.ТАЯНИЕ";"ОБОСТР.";"РАЗРАСТ.";"НЕТ"}, 0), G98,G99,G100,G101,100%,100%,100%)*I36)*K36,0)</f>
        <v>0</v>
      </c>
      <c r="N36" s="473"/>
      <c r="O36" s="699" t="s">
        <v>1943</v>
      </c>
      <c r="P36" s="700">
        <v>40.0</v>
      </c>
      <c r="Q36" s="693" t="s">
        <v>1899</v>
      </c>
      <c r="R36" s="565"/>
      <c r="S36" s="726"/>
      <c r="T36" s="294"/>
    </row>
    <row r="37" ht="19.5" customHeight="1">
      <c r="B37" s="727" t="s">
        <v>1977</v>
      </c>
      <c r="C37" s="728"/>
      <c r="D37" s="729"/>
      <c r="E37" s="727" t="s">
        <v>53</v>
      </c>
      <c r="F37" s="729"/>
      <c r="G37" s="473"/>
      <c r="H37" s="627" t="str">
        <f t="shared" si="2"/>
        <v>УНИК. УДАР</v>
      </c>
      <c r="I37" s="616">
        <f t="shared" si="3"/>
        <v>0</v>
      </c>
      <c r="J37" s="638" t="s">
        <v>1918</v>
      </c>
      <c r="K37" s="639"/>
      <c r="L37" s="640" t="b">
        <v>0</v>
      </c>
      <c r="M37" s="641">
        <f t="array" ref="M37">ROUND((CHOOSE(MATCH(LOWER(TRIM(J37)),{"ПАР";"ОБ.ПАР";"ТАЯНИЕ";"ОБ.ТАЯНИЕ";"ОБОСТР.";"РАЗРАСТ.";"НЕТ"}, 0), G98,G99,G100,G101,100%,100%,100%)*I37)*K37,0)</f>
        <v>0</v>
      </c>
      <c r="N37" s="473"/>
      <c r="O37" s="692" t="s">
        <v>1978</v>
      </c>
      <c r="P37" s="707"/>
      <c r="Q37" s="701" t="s">
        <v>1903</v>
      </c>
      <c r="R37" s="722"/>
      <c r="S37" s="730" t="s">
        <v>1979</v>
      </c>
      <c r="T37" s="731" t="b">
        <v>1</v>
      </c>
    </row>
    <row r="38" ht="19.5" customHeight="1">
      <c r="B38" s="732"/>
      <c r="C38" s="733"/>
      <c r="D38" s="734"/>
      <c r="E38" s="732"/>
      <c r="F38" s="734"/>
      <c r="G38" s="473"/>
      <c r="H38" s="627" t="str">
        <f t="shared" si="2"/>
        <v>УНИК. УДАР</v>
      </c>
      <c r="I38" s="628">
        <f t="shared" si="3"/>
        <v>0</v>
      </c>
      <c r="J38" s="629" t="s">
        <v>1918</v>
      </c>
      <c r="K38" s="630"/>
      <c r="L38" s="631" t="b">
        <v>0</v>
      </c>
      <c r="M38" s="632">
        <f t="array" ref="M38">ROUND((CHOOSE(MATCH(LOWER(TRIM(J38)),{"ПАР";"ОБ.ПАР";"ТАЯНИЕ";"ОБ.ТАЯНИЕ";"ОБОСТР.";"РАЗРАСТ.";"НЕТ"}, 0), G98,G99,G100,G101,100%,100%,100%)*I38)*K38,0)</f>
        <v>0</v>
      </c>
      <c r="N38" s="473"/>
      <c r="O38" s="699" t="s">
        <v>1980</v>
      </c>
      <c r="P38" s="700">
        <v>40.0</v>
      </c>
      <c r="Q38" s="693" t="s">
        <v>1907</v>
      </c>
      <c r="R38" s="565"/>
      <c r="S38" s="735" t="s">
        <v>1981</v>
      </c>
      <c r="T38" s="294"/>
    </row>
    <row r="39" ht="19.5" customHeight="1">
      <c r="B39" s="736" t="s">
        <v>1982</v>
      </c>
      <c r="D39" s="737" t="b">
        <v>1</v>
      </c>
      <c r="E39" s="736" t="s">
        <v>553</v>
      </c>
      <c r="F39" s="737" t="b">
        <v>1</v>
      </c>
      <c r="G39" s="473"/>
      <c r="H39" s="627" t="str">
        <f t="shared" si="2"/>
        <v>УНИК. УДАР</v>
      </c>
      <c r="I39" s="616">
        <f t="shared" si="3"/>
        <v>0</v>
      </c>
      <c r="J39" s="638" t="s">
        <v>1918</v>
      </c>
      <c r="K39" s="639"/>
      <c r="L39" s="640" t="b">
        <v>0</v>
      </c>
      <c r="M39" s="641">
        <f t="array" ref="M39">ROUND((CHOOSE(MATCH(LOWER(TRIM(J39)),{"ПАР";"ОБ.ПАР";"ТАЯНИЕ";"ОБ.ТАЯНИЕ";"ОБОСТР.";"РАЗРАСТ.";"НЕТ"}, 0), G98,G99,G100,G101,100%,100%,100%)*I39)*K39,0)</f>
        <v>0</v>
      </c>
      <c r="N39" s="473"/>
      <c r="O39" s="692" t="s">
        <v>1983</v>
      </c>
      <c r="P39" s="707"/>
      <c r="Q39" s="701" t="s">
        <v>1910</v>
      </c>
      <c r="R39" s="722"/>
      <c r="S39" s="687"/>
      <c r="T39" s="373"/>
    </row>
    <row r="40" ht="19.5" customHeight="1">
      <c r="B40" s="738"/>
      <c r="D40" s="739"/>
      <c r="E40" s="738"/>
      <c r="F40" s="739"/>
      <c r="G40" s="473"/>
      <c r="H40" s="627" t="str">
        <f t="shared" si="2"/>
        <v>УНИК. УДАР</v>
      </c>
      <c r="I40" s="628">
        <f t="shared" si="3"/>
        <v>0</v>
      </c>
      <c r="J40" s="629" t="s">
        <v>1918</v>
      </c>
      <c r="K40" s="630"/>
      <c r="L40" s="631" t="b">
        <v>0</v>
      </c>
      <c r="M40" s="632">
        <f t="array" ref="M40">ROUND((CHOOSE(MATCH(LOWER(TRIM(J40)),{"ПАР";"ОБ.ПАР";"ТАЯНИЕ";"ОБ.ТАЯНИЕ";"ОБОСТР.";"РАЗРАСТ.";"НЕТ"}, 0), G98,G99,G100,G101,100%,100%,100%)*I40)*K40,0)</f>
        <v>0</v>
      </c>
      <c r="N40" s="473"/>
      <c r="O40" s="699" t="s">
        <v>1984</v>
      </c>
      <c r="P40" s="700"/>
      <c r="Q40" s="740" t="s">
        <v>1913</v>
      </c>
      <c r="R40" s="741"/>
      <c r="S40" s="742" t="s">
        <v>1985</v>
      </c>
      <c r="T40" s="294"/>
    </row>
    <row r="41" ht="19.5" customHeight="1">
      <c r="B41" s="743" t="s">
        <v>1986</v>
      </c>
      <c r="D41" s="744" t="b">
        <v>1</v>
      </c>
      <c r="E41" s="743" t="s">
        <v>554</v>
      </c>
      <c r="F41" s="744" t="b">
        <v>1</v>
      </c>
      <c r="G41" s="473"/>
      <c r="H41" s="627" t="str">
        <f t="shared" si="2"/>
        <v>УНИК. УДАР</v>
      </c>
      <c r="I41" s="616">
        <f t="shared" si="3"/>
        <v>0</v>
      </c>
      <c r="J41" s="638" t="s">
        <v>1918</v>
      </c>
      <c r="K41" s="639"/>
      <c r="L41" s="640" t="b">
        <v>0</v>
      </c>
      <c r="M41" s="641">
        <f t="array" ref="M41">ROUND((CHOOSE(MATCH(LOWER(TRIM(J41)),{"ПАР";"ОБ.ПАР";"ТАЯНИЕ";"ОБ.ТАЯНИЕ";"ОБОСТР.";"РАЗРАСТ.";"НЕТ"}, 0), G98,G99,G100,G101,100%,100%,100%)*I41)*K41,0)</f>
        <v>0</v>
      </c>
      <c r="N41" s="473"/>
      <c r="O41" s="692" t="s">
        <v>1987</v>
      </c>
      <c r="P41" s="565"/>
      <c r="Q41" s="701" t="s">
        <v>1963</v>
      </c>
      <c r="R41" s="704"/>
      <c r="S41" s="687"/>
      <c r="T41" s="373"/>
    </row>
    <row r="42" ht="19.5" customHeight="1">
      <c r="B42" s="738"/>
      <c r="D42" s="739"/>
      <c r="E42" s="738"/>
      <c r="F42" s="739"/>
      <c r="G42" s="473"/>
      <c r="H42" s="627" t="str">
        <f t="shared" si="2"/>
        <v>УНИК. УДАР</v>
      </c>
      <c r="I42" s="628">
        <f t="shared" si="3"/>
        <v>0</v>
      </c>
      <c r="J42" s="629" t="s">
        <v>1918</v>
      </c>
      <c r="K42" s="630"/>
      <c r="L42" s="631" t="b">
        <v>0</v>
      </c>
      <c r="M42" s="632">
        <f t="array" ref="M42">ROUND((CHOOSE(MATCH(LOWER(TRIM(J42)),{"ПАР";"ОБ.ПАР";"ТАЯНИЕ";"ОБ.ТАЯНИЕ";"ОБОСТР.";"РАЗРАСТ.";"НЕТ"}, 0), G98,G99,G100,G101,100%,100%,100%)*I42)*K42,0)</f>
        <v>0</v>
      </c>
      <c r="N42" s="473"/>
      <c r="O42" s="745" t="s">
        <v>1988</v>
      </c>
      <c r="P42" s="746">
        <v>40.0</v>
      </c>
      <c r="Q42" s="693" t="s">
        <v>1957</v>
      </c>
      <c r="R42" s="565"/>
      <c r="S42" s="747" t="s">
        <v>1989</v>
      </c>
      <c r="T42" s="748"/>
    </row>
    <row r="43" ht="19.5" customHeight="1">
      <c r="B43" s="736" t="s">
        <v>1990</v>
      </c>
      <c r="D43" s="737" t="b">
        <v>1</v>
      </c>
      <c r="E43" s="736" t="s">
        <v>555</v>
      </c>
      <c r="F43" s="737" t="b">
        <v>1</v>
      </c>
      <c r="G43" s="473"/>
      <c r="H43" s="627" t="str">
        <f t="shared" si="2"/>
        <v>УНИК. УДАР</v>
      </c>
      <c r="I43" s="616">
        <f t="shared" si="3"/>
        <v>0</v>
      </c>
      <c r="J43" s="638" t="s">
        <v>1918</v>
      </c>
      <c r="K43" s="639"/>
      <c r="L43" s="640" t="b">
        <v>0</v>
      </c>
      <c r="M43" s="641">
        <f t="array" ref="M43">ROUND((CHOOSE(MATCH(LOWER(TRIM(J43)),{"ПАР";"ОБ.ПАР";"ТАЯНИЕ";"ОБ.ТАЯНИЕ";"ОБОСТР.";"РАЗРАСТ.";"НЕТ"}, 0), G98,G99,G100,G101,100%,100%,100%)*I43)*K43,0)</f>
        <v>0</v>
      </c>
      <c r="N43" s="473"/>
      <c r="O43" s="473"/>
      <c r="P43" s="515"/>
      <c r="Q43" s="701" t="s">
        <v>1958</v>
      </c>
      <c r="R43" s="704"/>
      <c r="S43" s="749" t="s">
        <v>2184</v>
      </c>
      <c r="T43" s="681"/>
    </row>
    <row r="44" ht="19.5" customHeight="1">
      <c r="B44" s="738"/>
      <c r="D44" s="739"/>
      <c r="E44" s="738"/>
      <c r="F44" s="739"/>
      <c r="G44" s="473"/>
      <c r="H44" s="627" t="str">
        <f t="shared" si="2"/>
        <v>УНИК. УДАР</v>
      </c>
      <c r="I44" s="628">
        <f t="shared" si="3"/>
        <v>0</v>
      </c>
      <c r="J44" s="629" t="s">
        <v>1918</v>
      </c>
      <c r="K44" s="630"/>
      <c r="L44" s="631" t="b">
        <v>0</v>
      </c>
      <c r="M44" s="632">
        <f t="array" ref="M44">ROUND((CHOOSE(MATCH(LOWER(TRIM(J44)),{"ПАР";"ОБ.ПАР";"ТАЯНИЕ";"ОБ.ТАЯНИЕ";"ОБОСТР.";"РАЗРАСТ.";"НЕТ"}, 0), G98,G99,G100,G101,100%,100%,100%)*I44)*K44,0)</f>
        <v>0</v>
      </c>
      <c r="N44" s="473"/>
      <c r="O44" s="473"/>
      <c r="P44" s="515"/>
      <c r="Q44" s="693" t="s">
        <v>1960</v>
      </c>
      <c r="R44" s="694">
        <v>15.0</v>
      </c>
      <c r="S44" s="687"/>
      <c r="T44" s="373"/>
    </row>
    <row r="45" ht="19.5" customHeight="1">
      <c r="B45" s="743" t="s">
        <v>1992</v>
      </c>
      <c r="D45" s="744" t="b">
        <v>1</v>
      </c>
      <c r="E45" s="743" t="s">
        <v>556</v>
      </c>
      <c r="F45" s="744" t="b">
        <v>1</v>
      </c>
      <c r="G45" s="473"/>
      <c r="H45" s="627" t="str">
        <f t="shared" si="2"/>
        <v>УНИК. УДАР</v>
      </c>
      <c r="I45" s="616">
        <f t="shared" si="3"/>
        <v>0</v>
      </c>
      <c r="J45" s="638" t="s">
        <v>1918</v>
      </c>
      <c r="K45" s="639"/>
      <c r="L45" s="640" t="b">
        <v>0</v>
      </c>
      <c r="M45" s="641">
        <f t="array" ref="M45">ROUND((CHOOSE(MATCH(LOWER(TRIM(J45)),{"ПАР";"ОБ.ПАР";"ТАЯНИЕ";"ОБ.ТАЯНИЕ";"ОБОСТР.";"РАЗРАСТ.";"НЕТ"}, 0), G98,G99,G100,G101,100%,100%,100%)*I45)*K45,0)</f>
        <v>0</v>
      </c>
      <c r="N45" s="473"/>
      <c r="O45" s="473"/>
      <c r="P45" s="515"/>
      <c r="Q45" s="701" t="s">
        <v>1965</v>
      </c>
      <c r="R45" s="722"/>
      <c r="S45" s="747" t="s">
        <v>1993</v>
      </c>
      <c r="T45" s="748"/>
    </row>
    <row r="46" ht="19.5" customHeight="1">
      <c r="B46" s="732"/>
      <c r="C46" s="733"/>
      <c r="D46" s="734"/>
      <c r="E46" s="738"/>
      <c r="F46" s="739"/>
      <c r="G46" s="473"/>
      <c r="H46" s="750" t="str">
        <f>P125</f>
        <v>ПРОЧЕЕ</v>
      </c>
      <c r="I46" s="751">
        <f>J125</f>
        <v>0</v>
      </c>
      <c r="J46" s="752" t="s">
        <v>1918</v>
      </c>
      <c r="K46" s="753"/>
      <c r="L46" s="754"/>
      <c r="M46" s="755">
        <f t="array" ref="M46">ROUND((CHOOSE(MATCH(LOWER(TRIM(J46)),{"ПАР";"ОБ.ПАР";"ТАЯНИЕ";"ОБ.ТАЯНИЕ";"ОБОСТР.";"РАЗРАСТ.";"НЕТ"}, 0), G98,G99,G100,G101,100%,100%,100%)*I46)*K46,0)</f>
        <v>0</v>
      </c>
      <c r="N46" s="473"/>
      <c r="O46" s="473"/>
      <c r="P46" s="515"/>
      <c r="Q46" s="693" t="s">
        <v>1969</v>
      </c>
      <c r="R46" s="694"/>
      <c r="S46" s="749" t="s">
        <v>2185</v>
      </c>
      <c r="T46" s="681"/>
    </row>
    <row r="47" ht="19.5" customHeight="1">
      <c r="B47" s="756" t="s">
        <v>570</v>
      </c>
      <c r="C47" s="757" t="s">
        <v>571</v>
      </c>
      <c r="D47" s="758" t="s">
        <v>1883</v>
      </c>
      <c r="E47" s="736" t="s">
        <v>557</v>
      </c>
      <c r="F47" s="737" t="b">
        <v>1</v>
      </c>
      <c r="G47" s="473"/>
      <c r="H47" s="473"/>
      <c r="I47" s="473"/>
      <c r="J47" s="473"/>
      <c r="K47" s="473"/>
      <c r="L47" s="473"/>
      <c r="M47" s="473"/>
      <c r="N47" s="473"/>
      <c r="O47" s="473"/>
      <c r="P47" s="515"/>
      <c r="Q47" s="759" t="s">
        <v>1973</v>
      </c>
      <c r="R47" s="760"/>
      <c r="S47" s="687"/>
      <c r="T47" s="373"/>
    </row>
    <row r="48" ht="19.5" customHeight="1">
      <c r="B48" s="761"/>
      <c r="C48" s="762"/>
      <c r="D48" s="763" t="str">
        <f>IFERROR(C48/C48,"-")</f>
        <v>-</v>
      </c>
      <c r="E48" s="738"/>
      <c r="F48" s="739"/>
      <c r="G48" s="473"/>
      <c r="H48" s="473"/>
      <c r="I48" s="764" t="s">
        <v>1995</v>
      </c>
      <c r="J48" s="765"/>
      <c r="K48" s="765"/>
      <c r="L48" s="765"/>
      <c r="M48" s="766"/>
      <c r="N48" s="473"/>
      <c r="O48" s="767" t="s">
        <v>1996</v>
      </c>
      <c r="P48" s="768">
        <f t="array" ref="P48">((R53+T30+CHOOSE(MATCH(LOWER(TRIM(S49)),{"ШК%";"КУ%";"СА%";"ХП%";"ЗЩ%";"БОНУС ЛЕЧЕНИЕ";"МС";"НЕТ"}, 0), 31.1,0,0,0,0,0,0,0))*2)+
(R52+T29+ CHOOSE(MATCH(LOWER(TRIM(S49)),{"ШК%";"КУ%";"СА%";"ХП%";"ЗЩ%";"БОНУС ЛЕЧЕНИЕ";"МС";"НЕТ"}, 0), 0,62.2,0,0,0,0,0,0))</f>
        <v>220.1</v>
      </c>
      <c r="Q48" s="769" t="s">
        <v>1933</v>
      </c>
      <c r="R48" s="556"/>
      <c r="S48" s="747" t="s">
        <v>1997</v>
      </c>
      <c r="T48" s="748"/>
    </row>
    <row r="49" ht="19.5" customHeight="1">
      <c r="B49" s="770"/>
      <c r="C49" s="771"/>
      <c r="D49" s="772" t="str">
        <f>IFERROR(C49/C48,"-")</f>
        <v>-</v>
      </c>
      <c r="E49" s="743" t="s">
        <v>411</v>
      </c>
      <c r="F49" s="744" t="b">
        <v>1</v>
      </c>
      <c r="G49" s="473"/>
      <c r="H49" s="473"/>
      <c r="I49" s="773"/>
      <c r="J49" s="774"/>
      <c r="K49" s="774"/>
      <c r="L49" s="774"/>
      <c r="M49" s="775"/>
      <c r="N49" s="473"/>
      <c r="O49" s="776"/>
      <c r="P49" s="373"/>
      <c r="Q49" s="701" t="s">
        <v>1935</v>
      </c>
      <c r="R49" s="704"/>
      <c r="S49" s="749" t="s">
        <v>1998</v>
      </c>
      <c r="T49" s="681"/>
    </row>
    <row r="50" ht="19.5" customHeight="1">
      <c r="B50" s="761"/>
      <c r="C50" s="762"/>
      <c r="D50" s="763" t="str">
        <f>IFERROR(C50/C48,"-")</f>
        <v>-</v>
      </c>
      <c r="E50" s="732"/>
      <c r="F50" s="734"/>
      <c r="G50" s="473"/>
      <c r="H50" s="473"/>
      <c r="I50" s="777" t="s">
        <v>78</v>
      </c>
      <c r="J50" s="778" t="s">
        <v>571</v>
      </c>
      <c r="K50" s="779" t="s">
        <v>1927</v>
      </c>
      <c r="L50" s="778" t="s">
        <v>1928</v>
      </c>
      <c r="M50" s="780" t="s">
        <v>1929</v>
      </c>
      <c r="N50" s="473"/>
      <c r="O50" s="781" t="s">
        <v>1999</v>
      </c>
      <c r="P50" s="680"/>
      <c r="Q50" s="680"/>
      <c r="R50" s="681"/>
      <c r="S50" s="687"/>
      <c r="T50" s="373"/>
    </row>
    <row r="51" ht="19.5" customHeight="1">
      <c r="B51" s="770"/>
      <c r="C51" s="771"/>
      <c r="D51" s="772" t="str">
        <f>IFERROR(C51/C48,"-")</f>
        <v>-</v>
      </c>
      <c r="E51" s="473"/>
      <c r="F51" s="473"/>
      <c r="G51" s="473"/>
      <c r="H51" s="473"/>
      <c r="I51" s="1079" t="s">
        <v>2000</v>
      </c>
      <c r="J51" s="1080">
        <f>F104</f>
        <v>0</v>
      </c>
      <c r="K51" s="1080"/>
      <c r="L51" s="1080" t="s">
        <v>14</v>
      </c>
      <c r="M51" s="1081">
        <f>J51*K51</f>
        <v>0</v>
      </c>
      <c r="N51" s="473"/>
      <c r="O51" s="687"/>
      <c r="P51" s="688"/>
      <c r="Q51" s="688"/>
      <c r="R51" s="373"/>
      <c r="S51" s="786"/>
      <c r="T51" s="786"/>
    </row>
    <row r="52" ht="19.5" customHeight="1">
      <c r="B52" s="761"/>
      <c r="C52" s="762"/>
      <c r="D52" s="763" t="str">
        <f>IFERROR(C52/C48,"-")</f>
        <v>-</v>
      </c>
      <c r="E52" s="473"/>
      <c r="F52" s="787" t="s">
        <v>68</v>
      </c>
      <c r="G52" s="788" t="s">
        <v>1928</v>
      </c>
      <c r="H52" s="473"/>
      <c r="I52" s="789" t="s">
        <v>2001</v>
      </c>
      <c r="J52" s="790"/>
      <c r="K52" s="791"/>
      <c r="L52" s="792" t="s">
        <v>14</v>
      </c>
      <c r="M52" s="793"/>
      <c r="N52" s="473"/>
      <c r="O52" s="693" t="s">
        <v>1884</v>
      </c>
      <c r="P52" s="794" t="s">
        <v>2002</v>
      </c>
      <c r="Q52" s="549" t="s">
        <v>1885</v>
      </c>
      <c r="R52" s="795" t="s">
        <v>2003</v>
      </c>
      <c r="S52" s="796" t="s">
        <v>2004</v>
      </c>
      <c r="T52" s="797"/>
    </row>
    <row r="53" ht="19.5" customHeight="1">
      <c r="B53" s="770"/>
      <c r="C53" s="771"/>
      <c r="D53" s="772" t="str">
        <f>IFERROR(C53/C48,"-")</f>
        <v>-</v>
      </c>
      <c r="E53" s="473"/>
      <c r="F53" s="798" t="s">
        <v>2005</v>
      </c>
      <c r="G53" s="799" t="b">
        <v>0</v>
      </c>
      <c r="H53" s="473"/>
      <c r="I53" s="800" t="s">
        <v>2006</v>
      </c>
      <c r="J53" s="801"/>
      <c r="K53" s="802"/>
      <c r="L53" s="803" t="s">
        <v>14</v>
      </c>
      <c r="M53" s="804"/>
      <c r="N53" s="473"/>
      <c r="O53" s="701" t="s">
        <v>1892</v>
      </c>
      <c r="P53" s="805" t="s">
        <v>2007</v>
      </c>
      <c r="Q53" s="703" t="s">
        <v>1890</v>
      </c>
      <c r="R53" s="806" t="s">
        <v>2008</v>
      </c>
      <c r="S53" s="807"/>
      <c r="T53" s="807"/>
    </row>
    <row r="54" ht="19.5" customHeight="1">
      <c r="B54" s="808"/>
      <c r="C54" s="809"/>
      <c r="D54" s="810" t="str">
        <f>IFERROR(C54/C48,"-")</f>
        <v>-</v>
      </c>
      <c r="E54" s="473"/>
      <c r="F54" s="811" t="s">
        <v>2009</v>
      </c>
      <c r="G54" s="812" t="b">
        <v>0</v>
      </c>
      <c r="H54" s="473"/>
      <c r="I54" s="813" t="s">
        <v>2010</v>
      </c>
      <c r="J54" s="629">
        <f t="shared" ref="J54:J56" si="4">F107</f>
        <v>10938</v>
      </c>
      <c r="K54" s="630"/>
      <c r="L54" s="629" t="s">
        <v>14</v>
      </c>
      <c r="M54" s="814">
        <f t="shared" ref="M54:M67" si="5">J54*K54</f>
        <v>0</v>
      </c>
      <c r="N54" s="473"/>
      <c r="O54" s="693" t="s">
        <v>1889</v>
      </c>
      <c r="P54" s="794" t="s">
        <v>2002</v>
      </c>
      <c r="Q54" s="549" t="s">
        <v>1893</v>
      </c>
      <c r="R54" s="795" t="s">
        <v>2011</v>
      </c>
      <c r="S54" s="796" t="s">
        <v>2012</v>
      </c>
      <c r="T54" s="797"/>
    </row>
    <row r="55" ht="19.5" customHeight="1">
      <c r="B55" s="473"/>
      <c r="C55" s="473"/>
      <c r="D55" s="473"/>
      <c r="E55" s="473"/>
      <c r="F55" s="798" t="s">
        <v>2013</v>
      </c>
      <c r="G55" s="799" t="b">
        <v>0</v>
      </c>
      <c r="H55" s="473"/>
      <c r="I55" s="815" t="s">
        <v>2014</v>
      </c>
      <c r="J55" s="816">
        <f t="shared" si="4"/>
        <v>17970</v>
      </c>
      <c r="K55" s="817">
        <v>12.0</v>
      </c>
      <c r="L55" s="816" t="s">
        <v>14</v>
      </c>
      <c r="M55" s="818">
        <f t="shared" si="5"/>
        <v>215640</v>
      </c>
      <c r="N55" s="473"/>
      <c r="O55" s="701" t="s">
        <v>2015</v>
      </c>
      <c r="P55" s="708">
        <v>837.0</v>
      </c>
      <c r="Q55" s="703" t="s">
        <v>2016</v>
      </c>
      <c r="R55" s="819">
        <v>38.0</v>
      </c>
      <c r="S55" s="807"/>
      <c r="T55" s="807"/>
    </row>
    <row r="56" ht="19.5" customHeight="1">
      <c r="B56" s="820" t="s">
        <v>2017</v>
      </c>
      <c r="C56" s="821"/>
      <c r="D56" s="821"/>
      <c r="E56" s="822"/>
      <c r="F56" s="811" t="s">
        <v>2018</v>
      </c>
      <c r="G56" s="812" t="b">
        <v>0</v>
      </c>
      <c r="H56" s="473"/>
      <c r="I56" s="813" t="s">
        <v>2019</v>
      </c>
      <c r="J56" s="629">
        <f t="shared" si="4"/>
        <v>16407</v>
      </c>
      <c r="K56" s="630"/>
      <c r="L56" s="629" t="s">
        <v>14</v>
      </c>
      <c r="M56" s="823">
        <f t="shared" si="5"/>
        <v>0</v>
      </c>
      <c r="N56" s="473"/>
      <c r="O56" s="710" t="s">
        <v>2020</v>
      </c>
      <c r="P56" s="711">
        <v>69.0</v>
      </c>
      <c r="Q56" s="712" t="s">
        <v>1967</v>
      </c>
      <c r="R56" s="824">
        <v>70.0</v>
      </c>
      <c r="S56" s="796" t="s">
        <v>2021</v>
      </c>
      <c r="T56" s="797"/>
    </row>
    <row r="57" ht="19.5" customHeight="1">
      <c r="B57" s="825"/>
      <c r="C57" s="826"/>
      <c r="D57" s="826"/>
      <c r="E57" s="827"/>
      <c r="F57" s="798" t="s">
        <v>2022</v>
      </c>
      <c r="G57" s="799" t="b">
        <v>0</v>
      </c>
      <c r="H57" s="473"/>
      <c r="I57" s="815" t="s">
        <v>2023</v>
      </c>
      <c r="J57" s="816">
        <f>D110</f>
        <v>11980</v>
      </c>
      <c r="K57" s="817"/>
      <c r="L57" s="816" t="s">
        <v>14</v>
      </c>
      <c r="M57" s="818">
        <f t="shared" si="5"/>
        <v>0</v>
      </c>
      <c r="N57" s="473"/>
      <c r="O57" s="828"/>
      <c r="Q57" s="828"/>
      <c r="S57" s="807"/>
      <c r="T57" s="807"/>
    </row>
    <row r="58" ht="19.5" customHeight="1">
      <c r="B58" s="829" t="s">
        <v>1884</v>
      </c>
      <c r="C58" s="690"/>
      <c r="D58" s="549" t="s">
        <v>1885</v>
      </c>
      <c r="E58" s="830"/>
      <c r="F58" s="811" t="s">
        <v>2024</v>
      </c>
      <c r="G58" s="812" t="b">
        <v>0</v>
      </c>
      <c r="H58" s="473"/>
      <c r="I58" s="813" t="s">
        <v>2025</v>
      </c>
      <c r="J58" s="629">
        <f t="shared" ref="J58:J60" si="6">F111</f>
        <v>16060</v>
      </c>
      <c r="K58" s="630"/>
      <c r="L58" s="629" t="s">
        <v>14</v>
      </c>
      <c r="M58" s="823">
        <f t="shared" si="5"/>
        <v>0</v>
      </c>
      <c r="N58" s="473"/>
      <c r="O58" s="831" t="s">
        <v>2026</v>
      </c>
      <c r="P58" s="832"/>
      <c r="Q58" s="832"/>
      <c r="R58" s="833"/>
      <c r="S58" s="834" t="s">
        <v>2027</v>
      </c>
      <c r="T58" s="835"/>
    </row>
    <row r="59" ht="19.5" customHeight="1">
      <c r="B59" s="836" t="s">
        <v>1889</v>
      </c>
      <c r="C59" s="837"/>
      <c r="D59" s="838" t="s">
        <v>1890</v>
      </c>
      <c r="E59" s="839"/>
      <c r="F59" s="798" t="s">
        <v>2028</v>
      </c>
      <c r="G59" s="799" t="b">
        <v>0</v>
      </c>
      <c r="H59" s="473"/>
      <c r="I59" s="815" t="s">
        <v>2029</v>
      </c>
      <c r="J59" s="816">
        <f t="shared" si="6"/>
        <v>8030</v>
      </c>
      <c r="K59" s="817"/>
      <c r="L59" s="816" t="s">
        <v>14</v>
      </c>
      <c r="M59" s="818">
        <f t="shared" si="5"/>
        <v>0</v>
      </c>
      <c r="N59" s="473"/>
      <c r="O59" s="840"/>
      <c r="P59" s="841"/>
      <c r="Q59" s="841"/>
      <c r="R59" s="807"/>
      <c r="S59" s="842"/>
      <c r="T59" s="843"/>
    </row>
    <row r="60" ht="19.5" customHeight="1">
      <c r="B60" s="829" t="s">
        <v>1892</v>
      </c>
      <c r="C60" s="690"/>
      <c r="D60" s="549" t="s">
        <v>1893</v>
      </c>
      <c r="E60" s="830"/>
      <c r="F60" s="811" t="s">
        <v>2030</v>
      </c>
      <c r="G60" s="812" t="b">
        <v>0</v>
      </c>
      <c r="H60" s="473"/>
      <c r="I60" s="813" t="s">
        <v>2031</v>
      </c>
      <c r="J60" s="629">
        <f t="shared" si="6"/>
        <v>1338</v>
      </c>
      <c r="K60" s="630"/>
      <c r="L60" s="629" t="s">
        <v>14</v>
      </c>
      <c r="M60" s="823">
        <f t="shared" si="5"/>
        <v>0</v>
      </c>
      <c r="N60" s="473"/>
      <c r="O60" s="844" t="s">
        <v>65</v>
      </c>
      <c r="P60" s="845" t="s">
        <v>2032</v>
      </c>
      <c r="Q60" s="844" t="s">
        <v>2033</v>
      </c>
      <c r="R60" s="845" t="s">
        <v>2032</v>
      </c>
      <c r="S60" s="846" t="s">
        <v>2034</v>
      </c>
      <c r="T60" s="845" t="s">
        <v>2032</v>
      </c>
    </row>
    <row r="61" ht="19.5" customHeight="1">
      <c r="B61" s="836" t="s">
        <v>2020</v>
      </c>
      <c r="C61" s="837"/>
      <c r="D61" s="838" t="s">
        <v>1967</v>
      </c>
      <c r="E61" s="847">
        <v>180.0</v>
      </c>
      <c r="F61" s="798" t="s">
        <v>2035</v>
      </c>
      <c r="G61" s="799" t="b">
        <v>0</v>
      </c>
      <c r="H61" s="473"/>
      <c r="I61" s="815" t="s">
        <v>2036</v>
      </c>
      <c r="J61" s="816">
        <f t="shared" ref="J61:J62" si="7">D114</f>
        <v>16472</v>
      </c>
      <c r="K61" s="817"/>
      <c r="L61" s="816" t="s">
        <v>14</v>
      </c>
      <c r="M61" s="818">
        <f t="shared" si="5"/>
        <v>0</v>
      </c>
      <c r="N61" s="473"/>
      <c r="O61" s="848" t="s">
        <v>2186</v>
      </c>
      <c r="P61" s="849" t="s">
        <v>2187</v>
      </c>
      <c r="Q61" s="848" t="s">
        <v>1833</v>
      </c>
      <c r="R61" s="849" t="s">
        <v>2188</v>
      </c>
      <c r="S61" s="850" t="s">
        <v>2189</v>
      </c>
      <c r="T61" s="849" t="s">
        <v>2190</v>
      </c>
    </row>
    <row r="62" ht="19.5" customHeight="1">
      <c r="B62" s="829" t="s">
        <v>2015</v>
      </c>
      <c r="C62" s="690"/>
      <c r="D62" s="851" t="s">
        <v>2016</v>
      </c>
      <c r="E62" s="852"/>
      <c r="F62" s="811" t="s">
        <v>2037</v>
      </c>
      <c r="G62" s="812" t="b">
        <v>0</v>
      </c>
      <c r="H62" s="473"/>
      <c r="I62" s="813" t="s">
        <v>2038</v>
      </c>
      <c r="J62" s="629">
        <f t="shared" si="7"/>
        <v>1367</v>
      </c>
      <c r="K62" s="630"/>
      <c r="L62" s="629" t="s">
        <v>14</v>
      </c>
      <c r="M62" s="823">
        <f t="shared" si="5"/>
        <v>0</v>
      </c>
      <c r="N62" s="473"/>
      <c r="O62" s="853" t="s">
        <v>2191</v>
      </c>
      <c r="P62" s="854" t="s">
        <v>2192</v>
      </c>
      <c r="Q62" s="853" t="s">
        <v>1840</v>
      </c>
      <c r="R62" s="854" t="s">
        <v>2193</v>
      </c>
      <c r="S62" s="855" t="s">
        <v>2194</v>
      </c>
      <c r="T62" s="854" t="s">
        <v>2195</v>
      </c>
    </row>
    <row r="63" ht="19.5" customHeight="1">
      <c r="B63" s="856" t="s">
        <v>1975</v>
      </c>
      <c r="C63" s="857"/>
      <c r="D63" s="858" t="s">
        <v>1920</v>
      </c>
      <c r="E63" s="859"/>
      <c r="F63" s="798" t="s">
        <v>2039</v>
      </c>
      <c r="G63" s="799" t="b">
        <v>0</v>
      </c>
      <c r="H63" s="473"/>
      <c r="I63" s="815" t="s">
        <v>2040</v>
      </c>
      <c r="J63" s="816">
        <f t="shared" ref="J63:J64" si="8">F116</f>
        <v>3281</v>
      </c>
      <c r="K63" s="817"/>
      <c r="L63" s="816" t="s">
        <v>14</v>
      </c>
      <c r="M63" s="818">
        <f t="shared" si="5"/>
        <v>0</v>
      </c>
      <c r="N63" s="473"/>
      <c r="O63" s="848" t="s">
        <v>2196</v>
      </c>
      <c r="P63" s="849" t="s">
        <v>2197</v>
      </c>
      <c r="Q63" s="848" t="s">
        <v>1836</v>
      </c>
      <c r="R63" s="849" t="s">
        <v>2198</v>
      </c>
      <c r="S63" s="850" t="s">
        <v>2199</v>
      </c>
      <c r="T63" s="849" t="s">
        <v>2200</v>
      </c>
    </row>
    <row r="64" ht="19.5" customHeight="1">
      <c r="B64" s="829" t="s">
        <v>1896</v>
      </c>
      <c r="C64" s="690"/>
      <c r="D64" s="860" t="s">
        <v>2041</v>
      </c>
      <c r="E64" s="630"/>
      <c r="F64" s="811" t="s">
        <v>2042</v>
      </c>
      <c r="G64" s="812" t="b">
        <v>0</v>
      </c>
      <c r="H64" s="473"/>
      <c r="I64" s="813" t="s">
        <v>2043</v>
      </c>
      <c r="J64" s="629">
        <f t="shared" si="8"/>
        <v>3281</v>
      </c>
      <c r="K64" s="630"/>
      <c r="L64" s="629" t="s">
        <v>14</v>
      </c>
      <c r="M64" s="823">
        <f t="shared" si="5"/>
        <v>0</v>
      </c>
      <c r="N64" s="473"/>
      <c r="O64" s="853" t="s">
        <v>2201</v>
      </c>
      <c r="P64" s="854" t="s">
        <v>2202</v>
      </c>
      <c r="Q64" s="853" t="s">
        <v>1845</v>
      </c>
      <c r="R64" s="854" t="s">
        <v>2203</v>
      </c>
      <c r="S64" s="855" t="s">
        <v>2204</v>
      </c>
      <c r="T64" s="854" t="s">
        <v>2205</v>
      </c>
    </row>
    <row r="65" ht="19.5" customHeight="1">
      <c r="B65" s="836" t="s">
        <v>1957</v>
      </c>
      <c r="C65" s="837"/>
      <c r="D65" s="861" t="s">
        <v>2044</v>
      </c>
      <c r="E65" s="862"/>
      <c r="F65" s="798" t="s">
        <v>2045</v>
      </c>
      <c r="G65" s="799" t="b">
        <v>0</v>
      </c>
      <c r="H65" s="473"/>
      <c r="I65" s="815" t="s">
        <v>2046</v>
      </c>
      <c r="J65" s="816">
        <f t="shared" ref="J65:J67" si="9">D118</f>
        <v>16407</v>
      </c>
      <c r="K65" s="817"/>
      <c r="L65" s="816" t="s">
        <v>14</v>
      </c>
      <c r="M65" s="818">
        <f t="shared" si="5"/>
        <v>0</v>
      </c>
      <c r="N65" s="473"/>
      <c r="O65" s="848" t="s">
        <v>2175</v>
      </c>
      <c r="P65" s="849" t="s">
        <v>2206</v>
      </c>
      <c r="Q65" s="848" t="s">
        <v>2100</v>
      </c>
      <c r="R65" s="849" t="s">
        <v>2207</v>
      </c>
      <c r="S65" s="850" t="s">
        <v>2208</v>
      </c>
      <c r="T65" s="849" t="s">
        <v>2209</v>
      </c>
    </row>
    <row r="66" ht="19.5" customHeight="1">
      <c r="B66" s="829" t="s">
        <v>1958</v>
      </c>
      <c r="C66" s="690"/>
      <c r="D66" s="860" t="s">
        <v>2047</v>
      </c>
      <c r="E66" s="630"/>
      <c r="F66" s="811" t="s">
        <v>2048</v>
      </c>
      <c r="G66" s="812" t="b">
        <v>1</v>
      </c>
      <c r="H66" s="473"/>
      <c r="I66" s="813" t="s">
        <v>2049</v>
      </c>
      <c r="J66" s="629">
        <f t="shared" si="9"/>
        <v>8985</v>
      </c>
      <c r="K66" s="630"/>
      <c r="L66" s="629" t="s">
        <v>14</v>
      </c>
      <c r="M66" s="823">
        <f t="shared" si="5"/>
        <v>0</v>
      </c>
      <c r="N66" s="473"/>
      <c r="O66" s="853" t="s">
        <v>2210</v>
      </c>
      <c r="P66" s="854" t="s">
        <v>2211</v>
      </c>
      <c r="Q66" s="853" t="s">
        <v>2212</v>
      </c>
      <c r="R66" s="854" t="s">
        <v>2213</v>
      </c>
      <c r="S66" s="855" t="s">
        <v>2214</v>
      </c>
      <c r="T66" s="854" t="s">
        <v>2215</v>
      </c>
    </row>
    <row r="67" ht="19.5" customHeight="1">
      <c r="B67" s="836" t="s">
        <v>1960</v>
      </c>
      <c r="C67" s="837"/>
      <c r="D67" s="861" t="s">
        <v>2050</v>
      </c>
      <c r="E67" s="862"/>
      <c r="F67" s="798" t="s">
        <v>2051</v>
      </c>
      <c r="G67" s="799" t="b">
        <v>0</v>
      </c>
      <c r="H67" s="473"/>
      <c r="I67" s="815" t="s">
        <v>2052</v>
      </c>
      <c r="J67" s="816">
        <f t="shared" si="9"/>
        <v>4014</v>
      </c>
      <c r="K67" s="817"/>
      <c r="L67" s="816" t="s">
        <v>14</v>
      </c>
      <c r="M67" s="818">
        <f t="shared" si="5"/>
        <v>0</v>
      </c>
      <c r="N67" s="473"/>
      <c r="O67" s="848" t="s">
        <v>1871</v>
      </c>
      <c r="P67" s="849" t="s">
        <v>2216</v>
      </c>
      <c r="Q67" s="848" t="s">
        <v>2217</v>
      </c>
      <c r="R67" s="849" t="s">
        <v>2218</v>
      </c>
      <c r="S67" s="850" t="s">
        <v>2219</v>
      </c>
      <c r="T67" s="849" t="s">
        <v>2220</v>
      </c>
    </row>
    <row r="68" ht="19.5" customHeight="1">
      <c r="B68" s="829" t="s">
        <v>1963</v>
      </c>
      <c r="C68" s="690"/>
      <c r="D68" s="860" t="s">
        <v>2053</v>
      </c>
      <c r="E68" s="630"/>
      <c r="F68" s="811" t="s">
        <v>2054</v>
      </c>
      <c r="G68" s="812" t="b">
        <v>0</v>
      </c>
      <c r="H68" s="473"/>
      <c r="I68" s="863" t="s">
        <v>2055</v>
      </c>
      <c r="J68" s="864" t="s">
        <v>2221</v>
      </c>
      <c r="K68" s="865" t="s">
        <v>1924</v>
      </c>
      <c r="L68" s="864" t="s">
        <v>2222</v>
      </c>
      <c r="M68" s="866" t="s">
        <v>1924</v>
      </c>
      <c r="N68" s="473"/>
      <c r="O68" s="853" t="s">
        <v>2223</v>
      </c>
      <c r="P68" s="854" t="s">
        <v>2224</v>
      </c>
      <c r="Q68" s="853" t="s">
        <v>2225</v>
      </c>
      <c r="R68" s="854" t="s">
        <v>2226</v>
      </c>
      <c r="S68" s="855" t="s">
        <v>2227</v>
      </c>
      <c r="T68" s="854" t="s">
        <v>2228</v>
      </c>
    </row>
    <row r="69" ht="19.5" customHeight="1">
      <c r="B69" s="836" t="s">
        <v>1965</v>
      </c>
      <c r="C69" s="837"/>
      <c r="D69" s="867" t="s">
        <v>1899</v>
      </c>
      <c r="E69" s="868"/>
      <c r="F69" s="798" t="s">
        <v>2058</v>
      </c>
      <c r="G69" s="799" t="b">
        <v>0</v>
      </c>
      <c r="H69" s="473"/>
      <c r="I69" s="869" t="s">
        <v>2059</v>
      </c>
      <c r="J69" s="870" t="s">
        <v>2229</v>
      </c>
      <c r="K69" s="871" t="s">
        <v>1924</v>
      </c>
      <c r="L69" s="870" t="s">
        <v>2230</v>
      </c>
      <c r="M69" s="872" t="s">
        <v>1924</v>
      </c>
      <c r="N69" s="473"/>
      <c r="O69" s="848" t="s">
        <v>2231</v>
      </c>
      <c r="P69" s="849" t="s">
        <v>2224</v>
      </c>
      <c r="Q69" s="848" t="s">
        <v>2183</v>
      </c>
      <c r="R69" s="849" t="s">
        <v>2232</v>
      </c>
      <c r="S69" s="850" t="s">
        <v>2233</v>
      </c>
      <c r="T69" s="849" t="s">
        <v>2234</v>
      </c>
    </row>
    <row r="70" ht="19.5" customHeight="1">
      <c r="B70" s="829" t="s">
        <v>1969</v>
      </c>
      <c r="C70" s="690"/>
      <c r="D70" s="549" t="s">
        <v>1903</v>
      </c>
      <c r="E70" s="830"/>
      <c r="F70" s="811" t="s">
        <v>2062</v>
      </c>
      <c r="G70" s="812" t="b">
        <v>0</v>
      </c>
      <c r="H70" s="473"/>
      <c r="I70" s="873" t="s">
        <v>2063</v>
      </c>
      <c r="J70" s="874" t="s">
        <v>2235</v>
      </c>
      <c r="K70" s="875" t="s">
        <v>1924</v>
      </c>
      <c r="L70" s="874" t="s">
        <v>2236</v>
      </c>
      <c r="M70" s="876" t="s">
        <v>1924</v>
      </c>
      <c r="N70" s="473"/>
      <c r="O70" s="877" t="s">
        <v>2066</v>
      </c>
      <c r="P70" s="821"/>
      <c r="Q70" s="821"/>
      <c r="R70" s="821"/>
      <c r="S70" s="821"/>
      <c r="T70" s="822"/>
    </row>
    <row r="71" ht="19.5" customHeight="1">
      <c r="B71" s="836" t="s">
        <v>1973</v>
      </c>
      <c r="C71" s="837"/>
      <c r="D71" s="838" t="s">
        <v>1907</v>
      </c>
      <c r="E71" s="839"/>
      <c r="F71" s="798" t="s">
        <v>2067</v>
      </c>
      <c r="G71" s="799" t="b">
        <v>0</v>
      </c>
      <c r="H71" s="473"/>
      <c r="I71" s="491" t="s">
        <v>2068</v>
      </c>
      <c r="J71" s="492"/>
      <c r="K71" s="492"/>
      <c r="L71" s="492"/>
      <c r="M71" s="492"/>
      <c r="N71" s="493"/>
      <c r="O71" s="878"/>
      <c r="P71" s="879"/>
      <c r="Q71" s="879"/>
      <c r="R71" s="879"/>
      <c r="S71" s="879"/>
      <c r="T71" s="880"/>
    </row>
    <row r="72" ht="19.5" customHeight="1">
      <c r="B72" s="881" t="s">
        <v>1933</v>
      </c>
      <c r="C72" s="706"/>
      <c r="D72" s="549" t="s">
        <v>1910</v>
      </c>
      <c r="E72" s="830"/>
      <c r="F72" s="811" t="s">
        <v>1887</v>
      </c>
      <c r="G72" s="812" t="b">
        <v>0</v>
      </c>
      <c r="H72" s="473"/>
      <c r="I72" s="502"/>
      <c r="J72" s="503"/>
      <c r="K72" s="503"/>
      <c r="L72" s="503"/>
      <c r="M72" s="503"/>
      <c r="N72" s="504"/>
      <c r="O72" s="882" t="s">
        <v>65</v>
      </c>
      <c r="P72" s="883" t="s">
        <v>1928</v>
      </c>
      <c r="Q72" s="882" t="s">
        <v>65</v>
      </c>
      <c r="R72" s="883" t="s">
        <v>1928</v>
      </c>
      <c r="S72" s="882" t="s">
        <v>2069</v>
      </c>
      <c r="T72" s="884" t="s">
        <v>1928</v>
      </c>
    </row>
    <row r="73" ht="19.5" customHeight="1">
      <c r="B73" s="885" t="s">
        <v>1935</v>
      </c>
      <c r="C73" s="886"/>
      <c r="D73" s="887" t="s">
        <v>1913</v>
      </c>
      <c r="E73" s="888"/>
      <c r="F73" s="798" t="s">
        <v>2070</v>
      </c>
      <c r="G73" s="799" t="b">
        <v>0</v>
      </c>
      <c r="H73" s="473"/>
      <c r="I73" s="889" t="s">
        <v>2071</v>
      </c>
      <c r="J73" s="890">
        <f>(S4+D25)</f>
        <v>744</v>
      </c>
      <c r="K73" s="891" t="s">
        <v>1957</v>
      </c>
      <c r="L73" s="892">
        <f t="array" ref="L73">R42+E28+C65+IF(S46="АФ.ПИРО%",46.6,0)+IF(G53=TRUE, 15,0)+IF(G65=TRUE, 60,0)+IF(G71=TRUE, 40,0)+IF(G76=TRUE, 15,0)+IF(G79=TRUE, 20,0)+CHOOSE(MATCH(LOWER(TRIM(T74)),{"НЕ АКТИВ";"НЕ НАТЛАН";"НАТЛАН"}, 0), 0,12,40)+IF(T78=TRUE, 35, 0)+IF(P77=TRUE, 20, 0)+IF(P81=TRUE, 25.6, 0)</f>
        <v>0</v>
      </c>
      <c r="M73" s="692" t="s">
        <v>1959</v>
      </c>
      <c r="N73" s="893" t="str">
        <f t="shared" ref="N73:N74" si="10">P29</f>
        <v/>
      </c>
      <c r="O73" s="229" t="s">
        <v>2072</v>
      </c>
      <c r="P73" s="894" t="b">
        <v>0</v>
      </c>
      <c r="Q73" s="229" t="s">
        <v>2073</v>
      </c>
      <c r="R73" s="895" t="b">
        <v>0</v>
      </c>
      <c r="S73" s="229" t="s">
        <v>1825</v>
      </c>
      <c r="T73" s="896" t="b">
        <v>0</v>
      </c>
    </row>
    <row r="74" ht="19.5" customHeight="1">
      <c r="B74" s="473"/>
      <c r="C74" s="473"/>
      <c r="D74" s="473"/>
      <c r="E74" s="473"/>
      <c r="F74" s="811" t="s">
        <v>1901</v>
      </c>
      <c r="G74" s="812" t="b">
        <v>0</v>
      </c>
      <c r="H74" s="473"/>
      <c r="I74" s="897" t="s">
        <v>2074</v>
      </c>
      <c r="J74" s="898">
        <f t="array" ref="J74">ROUND((J73)*(100%+R7%+R29%+C28%+C58%+P52%+IF(G76=TRUE, 10,0)%+IF(G65=TRUE, 40,0)%+IF(G61=TRUE, 30,0)% + IF(C13=TRUE, 25,0)%+IF(R6="СА%", S6, 0)% + IF(S43="СА%", 46.6,0)% + IF(S46="СА%", 46.6,0)% + IF(S49="СА%", 46.6,0 )%+IF(T75=TRUE, 20, 0)%+IF(T76=TRUE, 20, 0)%+IF(P73=TRUE, 20, 0)%+IF(P74=TRUE, 48, 0)%+IF(P75=TRUE, 40, 0)%+IF(P76=TRUE, 20, 0)%+IF(P80=TRUE, 32, 0)%+CHOOSE(MATCH(LOWER(TRIM(R82)),{"НЕ АКТИВ";"НЕ ШАБАШ";"ШАБАШ"}, 0), 0,16,28)%+IF(F39=TRUE,10,0)%)+(T33 + R55 + E62 +IF(G53=TRUE, 1202,0)+IF(G61=TRUE, 810,0)+IF(R2="ОМУТ",J78*XLOOKUP(T4,{"РП1"; "РП2"; "РП3"; "РП4";"РП5"},{1.2; 1.5; 1.8; 2.1; 2.4})%,0)+IF(R2="АКВАМАРИН",J75*XLOOKUP(T4,{"РП1"; "РП2"; "РП3"; "РП4";"РП5"},{24; 30; 36; 42; 48})%,0)+IF(R2="СКИТАЮЩИЙСЯ",J75*XLOOKUP(T4,{"РП1"; "РП2"; "РП3"; "РП4";"РП5"},{24; 30; 36; 42; 48})%,0)+IF(R2="ФИНАЛ ГЛУБИН",XLOOKUP(T4,{"РП1"; "РП2"; "РП3"; "РП4";"РП5"},{150; 187.5; 225; 262.5; 300}),0)+IF(R2="ПОСОХ ПЕСКОВ",J75*XLOOKUP(T4,{"РП1";"РП2";"РП3";"РП4";"РП5"},{52%;65%;78%;91%;104%})+MIN(IF(S11="НЕТ",0,S11),3)*J75*XLOOKUP(T4,{"РП1";"РП2";"РП3";"РП4";"РП5"},{28%;35%;42%;49%;56%}),0)+IF(R2="ПОСОХ ХОМЫ",J78*XLOOKUP(T4,{"РП1"; "РП2"; "РП3"; "РП4";"РП5"},{0.8+IF(T11=TRUE, 1,0); 1+IF(T11=TRUE, 1.2,0); 1.2+IF(T11=TRUE, 1.4,0); 1.4+IF(T11=TRUE, 1.6,0); 1.6+IF(T11=TRUE, 1.8,0)})%,0)+IF(R75=TRUE,R74*0.48*0.3,0)+IF(R81=TRUE,R80*0.48*0.3,0)),0)</f>
        <v>1632</v>
      </c>
      <c r="K74" s="899" t="s">
        <v>1958</v>
      </c>
      <c r="L74" s="900">
        <f t="array" ref="L74">R43+E29+C66+IF(S46="АФ.ГИДРО%",46.6,0)+IF(G71=TRUE, 40,0)+IF(G79=TRUE, 20,0)+CHOOSE(MATCH(LOWER(TRIM(T74)),{"НЕ АКТИВ";"НЕ НАТЛАН";"НАТЛАН"}, 0), 0,12,40)+IF(T78=TRUE, 35, 0)+IF(P77=TRUE, 20, 0)+IF(P81=TRUE, 25.6, 0)</f>
        <v>0</v>
      </c>
      <c r="M74" s="699" t="s">
        <v>1961</v>
      </c>
      <c r="N74" s="901" t="str">
        <f t="shared" si="10"/>
        <v/>
      </c>
      <c r="O74" s="156" t="s">
        <v>2075</v>
      </c>
      <c r="P74" s="902" t="b">
        <v>0</v>
      </c>
      <c r="Q74" s="903" t="s">
        <v>2076</v>
      </c>
      <c r="R74" s="904">
        <v>1000.0</v>
      </c>
      <c r="S74" s="156" t="s">
        <v>2077</v>
      </c>
      <c r="T74" s="905" t="s">
        <v>2078</v>
      </c>
    </row>
    <row r="75" ht="19.5" customHeight="1">
      <c r="B75" s="906" t="s">
        <v>2079</v>
      </c>
      <c r="C75" s="907"/>
      <c r="D75" s="907"/>
      <c r="E75" s="908"/>
      <c r="F75" s="798" t="s">
        <v>2080</v>
      </c>
      <c r="G75" s="799" t="b">
        <v>0</v>
      </c>
      <c r="H75" s="473"/>
      <c r="I75" s="909" t="s">
        <v>1967</v>
      </c>
      <c r="J75" s="910">
        <f t="array" ref="J75">T17+T32+R56+C34+E61 + IF(C17=TRUE, 50,0)+CHOOSE(MATCH(LOWER(TRIM(D17)),{"50 МС";"20 МС";"30 МС";"НЕТ"}, 0), 50,20,30,0)+IF(R6="МС", S6,0) + IF(S43="МС", 187,0) + IF(S46="МС", 187,0) + IF(S49="МС", 187,0) +IF(G56=TRUE, K68*6%,0)+IF(G59=TRUE, 80,0)+IF(G66=TRUE, 250,0)+IF(G67=TRUE, 100,0)+IF(G72=TRUE, 125,0)+IF(G79=TRUE, 230,0)+CHOOSE(MATCH(LOWER(TRIM(T80)),{"НЕ АКТИВ";"1 НОД";"2 НОДА"}, 0), 0,60,120)+IF(T81=TRUE,120,0)+IF(P73=TRUE, 100, 0)+IF(P78=TRUE, 40, 0)+IF(R77=TRUE, R76*0.002, 0)+IF(R83=TRUE, 120, 0)</f>
        <v>500</v>
      </c>
      <c r="K75" s="911" t="s">
        <v>1960</v>
      </c>
      <c r="L75" s="912">
        <f t="array" ref="L75">R44+E30+C67+IF(S46="АФ.ЭЛЕКТРО%",46.6,0)+IF(G65=TRUE, 60,0)+IF(G71=TRUE, 40,0)+IF(G79=TRUE, 20,0)+CHOOSE(MATCH(LOWER(TRIM(T74)),{"НЕ АКТИВ";"НЕ НАТЛАН";"НАТЛАН"}, 0), 0,12,40)+IF(T78=TRUE, 35, 0)+IF(P77=TRUE, 20, 0)+IF(P81=TRUE, 25.6, 0)</f>
        <v>61.6</v>
      </c>
      <c r="M75" s="692" t="s">
        <v>2081</v>
      </c>
      <c r="N75" s="893">
        <f>P31+IF(G78=TRUE, 40,0)</f>
        <v>20</v>
      </c>
      <c r="O75" s="229" t="s">
        <v>2082</v>
      </c>
      <c r="P75" s="894" t="b">
        <v>0</v>
      </c>
      <c r="Q75" s="913"/>
      <c r="R75" s="914" t="b">
        <v>0</v>
      </c>
      <c r="S75" s="229" t="s">
        <v>2083</v>
      </c>
      <c r="T75" s="896" t="b">
        <v>0</v>
      </c>
    </row>
    <row r="76" ht="19.5" customHeight="1">
      <c r="B76" s="915"/>
      <c r="C76" s="662"/>
      <c r="D76" s="662"/>
      <c r="E76" s="916"/>
      <c r="F76" s="811" t="s">
        <v>2084</v>
      </c>
      <c r="G76" s="812" t="b">
        <v>0</v>
      </c>
      <c r="H76" s="473"/>
      <c r="I76" s="897" t="s">
        <v>1885</v>
      </c>
      <c r="J76" s="917">
        <f>50+(T7+T29+R52+C31+E58+IF(R6="КУ%",S6,0)+IF(S49="КУ%",62.2,0)+IF(G68=TRUE,40,0)+IF(G75=TRUE, 40,0)+IF(F49=TRUE,50,0))</f>
        <v>204.9</v>
      </c>
      <c r="K76" s="899" t="s">
        <v>1963</v>
      </c>
      <c r="L76" s="900">
        <f t="array" ref="L76">R41+E31+C68+IF(S46="АФ.КРИО%",46.6,0)+IF(G71=TRUE, 40,0)+IF(G79=TRUE, 20,0)+CHOOSE(MATCH(LOWER(TRIM(T74)),{"НЕ АКТИВ";"НЕ НАТЛАН";"НАТЛАН"}, 0), 0,12,40)+IF(T78=TRUE, 35, 0)+IF(P77=TRUE, 20, 0)+IF(P81=TRUE, 25.6, 0)</f>
        <v>0</v>
      </c>
      <c r="M76" s="699" t="s">
        <v>1934</v>
      </c>
      <c r="N76" s="901">
        <f>P32+T19+IF(G59=TRUE, 35,0)+IF(G67=TRUE, 400,0)+IF(G78=TRUE, 100,0)+IF(P83=TRUE, 120,0)</f>
        <v>0</v>
      </c>
      <c r="O76" s="156" t="s">
        <v>2085</v>
      </c>
      <c r="P76" s="902" t="b">
        <v>0</v>
      </c>
      <c r="Q76" s="903" t="s">
        <v>2086</v>
      </c>
      <c r="R76" s="918">
        <v>50000.0</v>
      </c>
      <c r="S76" s="156" t="s">
        <v>1832</v>
      </c>
      <c r="T76" s="905" t="b">
        <v>0</v>
      </c>
    </row>
    <row r="77" ht="19.5" customHeight="1">
      <c r="B77" s="919" t="s">
        <v>2087</v>
      </c>
      <c r="C77" s="920">
        <v>90.0</v>
      </c>
      <c r="D77" s="921" t="s">
        <v>2088</v>
      </c>
      <c r="E77" s="922">
        <v>950.0</v>
      </c>
      <c r="F77" s="798" t="s">
        <v>2089</v>
      </c>
      <c r="G77" s="799" t="b">
        <v>0</v>
      </c>
      <c r="H77" s="473"/>
      <c r="I77" s="909" t="s">
        <v>2090</v>
      </c>
      <c r="J77" s="923">
        <f>5+(C32+T8+T30+R53+IF(C15=TRUE, 15,0)+E59+IF(R6="ШК%",S6,0)+IF(S49="ШК%",31.1,0)+IF(F41=TRUE,10,0)+IF(F49=TRUE,3,0))</f>
        <v>103.2</v>
      </c>
      <c r="K77" s="911" t="s">
        <v>1965</v>
      </c>
      <c r="L77" s="912">
        <f t="array" ref="L77">R45+E32+C69+IF(S46="АФ.ГЕО%",46.6,0)+IF(G75=TRUE, 15,0)+CHOOSE(MATCH(LOWER(TRIM(T74)),{"НЕ АКТИВ";"НЕ НАТЛАН";"НАТЛАН"}, 0), 0,12,40)+IF(P77=TRUE, 20, 0)+IF(P81=TRUE, 25.6, 0)</f>
        <v>0</v>
      </c>
      <c r="M77" s="692" t="s">
        <v>2091</v>
      </c>
      <c r="N77" s="893">
        <f t="array" ref="N77">P33+T21+MIN(CHOOSE(MATCH(LOWER(TRIM(C18)),{"ПИРО ПЕРС";"КРИО ПЕРС";"ЭЛЕКТ. ПЕРС";"ГИДРО ПЕРС";"ГЕО ПЕРС";"АНЕМО ПЕРС";"ДЕНД. ПЕРС"}, 0), (D18/100)*0.9,(D18/100)*0.9,(D18/100)*0.9,(D18/1000)*0.6,(D18/100)*1,(D18/100)*2.25,(D18/100)*2.25),36)+IF(G59=TRUE, 35,0)+IF(G78=TRUE, 35,0)+CHOOSE(MATCH(LOWER(TRIM(T80)),{"НЕ АКТИВ";"1 НОД";"2 НОДА"}, 0), 0,10,20)+CHOOSE(MATCH(LOWER(TRIM(T82)),{"НЕ АКТИВ";"1 НОД";"2 НОДА"}, 0), 0,10,20)+IF(P83=TRUE, 40,0)</f>
        <v>0</v>
      </c>
      <c r="O77" s="229" t="s">
        <v>2092</v>
      </c>
      <c r="P77" s="894" t="b">
        <v>0</v>
      </c>
      <c r="Q77" s="913"/>
      <c r="R77" s="895" t="b">
        <v>0</v>
      </c>
      <c r="S77" s="229" t="s">
        <v>2093</v>
      </c>
      <c r="T77" s="896" t="b">
        <v>0</v>
      </c>
    </row>
    <row r="78" ht="19.5" customHeight="1">
      <c r="B78" s="924" t="s">
        <v>2094</v>
      </c>
      <c r="C78" s="925">
        <f>0</f>
        <v>0</v>
      </c>
      <c r="D78" s="926" t="s">
        <v>2095</v>
      </c>
      <c r="E78" s="927">
        <f>IF(F45=TRUE,15,0)</f>
        <v>15</v>
      </c>
      <c r="F78" s="928" t="s">
        <v>2096</v>
      </c>
      <c r="G78" s="929" t="b">
        <v>0</v>
      </c>
      <c r="H78" s="473"/>
      <c r="I78" s="930" t="s">
        <v>2097</v>
      </c>
      <c r="J78" s="931">
        <f>ROUND((C26)*(100%+R8%+R30%+P54%+C29%+C59%+IF(C14=TRUE,25,0)%+IF(R6="ХП%",S6,0)%+IF(S43="ХП%",46.6,0)%+IF(S46="ХП%",46.6,0)%+IF(S49="ХП%",46.6,0)%)+(R33+P55+C62),0)</f>
        <v>19469</v>
      </c>
      <c r="K78" s="899" t="s">
        <v>1969</v>
      </c>
      <c r="L78" s="900">
        <f t="array" ref="L78">R46+E33+C70+IF(S46="АФ.АНЕМО%",46.6,0)+IF(G68=TRUE, 38.3,0)+CHOOSE(MATCH(LOWER(TRIM(T74)),{"НЕ АКТИВ";"НЕ НАТЛАН";"НАТЛАН"}, 0), 0,12,40)+IF(P77=TRUE, 20, 0)+IF(P81=TRUE, 25.6, 0)</f>
        <v>0</v>
      </c>
      <c r="M78" s="699" t="s">
        <v>1974</v>
      </c>
      <c r="N78" s="901">
        <f>P34+T18+IF(G78=TRUE, 100,0)+IF(P83=TRUE, 80,0)</f>
        <v>40</v>
      </c>
      <c r="O78" s="156" t="s">
        <v>2098</v>
      </c>
      <c r="P78" s="902" t="b">
        <v>0</v>
      </c>
      <c r="Q78" s="903" t="s">
        <v>2099</v>
      </c>
      <c r="R78" s="904">
        <v>1000.0</v>
      </c>
      <c r="S78" s="156" t="s">
        <v>2100</v>
      </c>
      <c r="T78" s="905" t="b">
        <v>0</v>
      </c>
    </row>
    <row r="79" ht="19.5" customHeight="1">
      <c r="B79" s="932" t="s">
        <v>2101</v>
      </c>
      <c r="C79" s="677"/>
      <c r="D79" s="933">
        <f>(D23+100)/((D23+100)+(C77+100)*(1-E78%)*(1-C78%))</f>
        <v>0.5405405405</v>
      </c>
      <c r="E79" s="934"/>
      <c r="F79" s="798" t="s">
        <v>2102</v>
      </c>
      <c r="G79" s="799" t="b">
        <v>0</v>
      </c>
      <c r="H79" s="473"/>
      <c r="I79" s="909" t="s">
        <v>2103</v>
      </c>
      <c r="J79" s="910">
        <f>ROUND((E26)*(100%+R9%+C30%+R31%+P53%+C60% +IF(R6="ЗЩ%", S6,0)% +IF(S43="ЗЩ%",58.3,0)% +IF(S46="ЗЩ%",58.3,0)% +IF(S49="ЗЩ%",58.3,0)%)+(C61+P56+IF(G75=TRUE, 438,0)),0)</f>
        <v>973</v>
      </c>
      <c r="K79" s="911" t="s">
        <v>1973</v>
      </c>
      <c r="L79" s="912">
        <f t="array" ref="L79">(R47+E34+C71+IF(S46="АФ.ДЕНДРО%",46.6,0))+CHOOSE(MATCH(LOWER(TRIM(T74)),{"НЕ АКТИВ";"НЕ НАТЛАН";"НАТЛАН"}, 0), 0,12,40)+IF(P77=TRUE, 20, 0)+IF(P81=TRUE, 25.6, 0)</f>
        <v>0</v>
      </c>
      <c r="M79" s="692" t="s">
        <v>1976</v>
      </c>
      <c r="N79" s="893">
        <f>P35+T18+IF(G78=TRUE, 100,0)+IF(P83=TRUE, 80,0)</f>
        <v>0</v>
      </c>
      <c r="O79" s="229" t="s">
        <v>2104</v>
      </c>
      <c r="P79" s="894" t="b">
        <v>0</v>
      </c>
      <c r="Q79" s="913"/>
      <c r="R79" s="935" t="b">
        <v>0</v>
      </c>
      <c r="S79" s="229" t="s">
        <v>1850</v>
      </c>
      <c r="T79" s="896" t="b">
        <v>0</v>
      </c>
    </row>
    <row r="80" ht="19.5" customHeight="1">
      <c r="B80" s="936" t="s">
        <v>1904</v>
      </c>
      <c r="C80" s="937">
        <f t="shared" ref="C80:C83" si="11">IF(C85&lt;0, C85/2, IF(AND(C85&gt;=0, C85&lt;75),C85, IF(C85&gt;=75, 75, C85)))</f>
        <v>10</v>
      </c>
      <c r="D80" s="938" t="s">
        <v>1917</v>
      </c>
      <c r="E80" s="939">
        <f t="shared" ref="E80:E83" si="12">IF(E85&lt;0, E85/2, IF(AND(E85&gt;=0, E85&lt;75),E85, IF(E85&gt;=75, 75, E85)))</f>
        <v>10</v>
      </c>
      <c r="F80" s="473"/>
      <c r="G80" s="473"/>
      <c r="H80" s="473"/>
      <c r="I80" s="940" t="s">
        <v>2105</v>
      </c>
      <c r="J80" s="941">
        <f>100+(T9+C33+T31+R54+E60+IF(R6="ВЭ%", S6,0)+IF(S43="ВЭ%",51.8,0)+IF(D43=TRUE,30,0)+IF(R79=TRUE, R78*0.072*0.3, 0))</f>
        <v>155.3</v>
      </c>
      <c r="K80" s="942" t="s">
        <v>1896</v>
      </c>
      <c r="L80" s="943">
        <f>(R35+E35+C64+IF(R6="ФИЗ%",S6,0)+IF(S46="АФ.ФИЗ.%",58.3,0))</f>
        <v>30</v>
      </c>
      <c r="M80" s="699" t="s">
        <v>1943</v>
      </c>
      <c r="N80" s="901">
        <f>P36+IF(G59=TRUE, 35,0)</f>
        <v>40</v>
      </c>
      <c r="O80" s="156" t="s">
        <v>2106</v>
      </c>
      <c r="P80" s="902" t="b">
        <v>0</v>
      </c>
      <c r="Q80" s="903" t="s">
        <v>2107</v>
      </c>
      <c r="R80" s="904">
        <v>1000.0</v>
      </c>
      <c r="S80" s="156" t="s">
        <v>2108</v>
      </c>
      <c r="T80" s="905" t="s">
        <v>2078</v>
      </c>
    </row>
    <row r="81" ht="19.5" customHeight="1">
      <c r="B81" s="944" t="s">
        <v>1908</v>
      </c>
      <c r="C81" s="830">
        <f t="shared" si="11"/>
        <v>10</v>
      </c>
      <c r="D81" s="860" t="s">
        <v>2109</v>
      </c>
      <c r="E81" s="945">
        <f t="shared" si="12"/>
        <v>10</v>
      </c>
      <c r="F81" s="473"/>
      <c r="G81" s="473"/>
      <c r="H81" s="473"/>
      <c r="I81" s="909" t="s">
        <v>2110</v>
      </c>
      <c r="J81" s="946">
        <f>(C35+R19+C72+R48 +IF(S49="БОНУС ЛЕЧЕНИЕ",35.9,0))</f>
        <v>0</v>
      </c>
      <c r="K81" s="947" t="s">
        <v>2111</v>
      </c>
      <c r="L81" s="948">
        <f>R17+R32+E63+IF(G77=TRUE, 2050,0)</f>
        <v>0</v>
      </c>
      <c r="M81" s="692" t="s">
        <v>2112</v>
      </c>
      <c r="N81" s="893">
        <f t="array" ref="N81">P37+T20+MIN(CHOOSE(MATCH(LOWER(TRIM(C18)),{"ПИРО ПЕРС";"КРИО ПЕРС";"ЭЛЕКТ. ПЕРС";"ГИДРО ПЕРС";"ГЕО ПЕРС";"АНЕМО ПЕРС";"ДЕНД. ПЕРС"}, 0), (D18/100)*0.9,(D18/100)*0.9,(D18/100)*0.9,(D18/1000)*0.6,(D18/100)*1,(D18/100)*2.25,(D18/100)*2.25),36)+IF(G59=TRUE, 35,0)+IF(P82=TRUE, 40, 0)+CHOOSE(MATCH(LOWER(TRIM(T80)),{"НЕ АКТИВ";"1 НОД";"2 НОДА"}, 0), 0,10,20)+CHOOSE(MATCH(LOWER(TRIM(T82)),{"НЕ АКТИВ";"1 НОД";"2 НОДА"}, 0), 0,10,20)</f>
        <v>0</v>
      </c>
      <c r="O81" s="229" t="s">
        <v>2113</v>
      </c>
      <c r="P81" s="894" t="b">
        <v>0</v>
      </c>
      <c r="Q81" s="913"/>
      <c r="R81" s="935" t="b">
        <v>0</v>
      </c>
      <c r="S81" s="229" t="s">
        <v>1828</v>
      </c>
      <c r="T81" s="896" t="b">
        <v>0</v>
      </c>
    </row>
    <row r="82" ht="19.5" customHeight="1">
      <c r="B82" s="936" t="s">
        <v>2114</v>
      </c>
      <c r="C82" s="937">
        <f t="shared" si="11"/>
        <v>10</v>
      </c>
      <c r="D82" s="938" t="s">
        <v>1914</v>
      </c>
      <c r="E82" s="939">
        <f t="shared" si="12"/>
        <v>10</v>
      </c>
      <c r="F82" s="473"/>
      <c r="G82" s="473"/>
      <c r="H82" s="473"/>
      <c r="I82" s="897" t="s">
        <v>2115</v>
      </c>
      <c r="J82" s="949">
        <f>IF(G54=TRUE, 30,0)</f>
        <v>0</v>
      </c>
      <c r="K82" s="897" t="s">
        <v>2116</v>
      </c>
      <c r="L82" s="898">
        <f>E64+R18</f>
        <v>0</v>
      </c>
      <c r="M82" s="699" t="s">
        <v>1980</v>
      </c>
      <c r="N82" s="901">
        <f>P38</f>
        <v>40</v>
      </c>
      <c r="O82" s="950" t="s">
        <v>2117</v>
      </c>
      <c r="P82" s="951" t="b">
        <v>0</v>
      </c>
      <c r="Q82" s="950" t="s">
        <v>2118</v>
      </c>
      <c r="R82" s="952" t="s">
        <v>2078</v>
      </c>
      <c r="S82" s="156" t="s">
        <v>1827</v>
      </c>
      <c r="T82" s="953" t="s">
        <v>2078</v>
      </c>
    </row>
    <row r="83" ht="19.5" customHeight="1">
      <c r="B83" s="944" t="s">
        <v>1911</v>
      </c>
      <c r="C83" s="830">
        <f t="shared" si="11"/>
        <v>10</v>
      </c>
      <c r="D83" s="860" t="s">
        <v>2119</v>
      </c>
      <c r="E83" s="945">
        <f t="shared" si="12"/>
        <v>10</v>
      </c>
      <c r="F83" s="473"/>
      <c r="G83" s="473"/>
      <c r="H83" s="473"/>
      <c r="I83" s="954" t="s">
        <v>1935</v>
      </c>
      <c r="J83" s="955">
        <f>(R20+R49+C73+IF(C16=TRUE, 15,0))+IF(T76=TRUE, 30, 0)</f>
        <v>0</v>
      </c>
      <c r="K83" s="909" t="s">
        <v>2120</v>
      </c>
      <c r="L83" s="910">
        <f>E65+IF(G64=TRUE, 6600,0)</f>
        <v>0</v>
      </c>
      <c r="M83" s="956" t="s">
        <v>1983</v>
      </c>
      <c r="N83" s="893">
        <f>P39+IF(G78=TRUE, 100,0)</f>
        <v>0</v>
      </c>
      <c r="O83" s="957" t="s">
        <v>2121</v>
      </c>
      <c r="P83" s="958" t="b">
        <v>0</v>
      </c>
      <c r="Q83" s="957" t="s">
        <v>2122</v>
      </c>
      <c r="R83" s="958" t="b">
        <v>0</v>
      </c>
      <c r="S83" s="957" t="s">
        <v>59</v>
      </c>
      <c r="T83" s="959" t="s">
        <v>59</v>
      </c>
    </row>
    <row r="84" ht="19.5" customHeight="1">
      <c r="B84" s="960" t="s">
        <v>2123</v>
      </c>
      <c r="C84" s="677"/>
      <c r="D84" s="677"/>
      <c r="E84" s="934"/>
      <c r="F84" s="473"/>
      <c r="G84" s="473"/>
      <c r="H84" s="473"/>
      <c r="I84" s="897" t="s">
        <v>1899</v>
      </c>
      <c r="J84" s="949">
        <f t="shared" ref="J84:J85" si="13">(R11+R36+E69)</f>
        <v>0</v>
      </c>
      <c r="K84" s="897" t="s">
        <v>2047</v>
      </c>
      <c r="L84" s="898">
        <f t="array" ref="L84">E66+IF(G63=TRUE, 2800,0)+IF(R2="ЛИСТВЕННЫЙ РАЗРЕЗ",J75*XLOOKUP(T4,{"РП1"; "РП2"; "РП3"; "РП4";"РП5"},{120; 150; 180; 210; 240})%,0)+IF(R2="КИНОВАР",J79*XLOOKUP(T4,{"РП1"; "РП2"; "РП3"; "РП4";"РП5"},{40; 50; 60; 70; 80})%,0)</f>
        <v>0</v>
      </c>
      <c r="M84" s="961" t="s">
        <v>1984</v>
      </c>
      <c r="N84" s="901" t="str">
        <f t="shared" ref="N84:N86" si="14">P40</f>
        <v/>
      </c>
      <c r="O84" s="473"/>
      <c r="P84" s="473"/>
      <c r="Q84" s="962"/>
      <c r="R84" s="962"/>
      <c r="S84" s="473"/>
      <c r="T84" s="473"/>
    </row>
    <row r="85" ht="19.5" customHeight="1">
      <c r="B85" s="944" t="s">
        <v>1904</v>
      </c>
      <c r="C85" s="963">
        <f>10+IF(R27="ТЕНЬ", -40,0)+IF(G57=TRUE, -36,0)+IF(G58=TRUE, -20,0)+IF(G65=TRUE, -40,0)+IF(G73=TRUE, -20,0)+IF(G74=TRUE, -35,0)+IF(G76=TRUE, -15,0)+IF(T73=TRUE, -40, 0)</f>
        <v>10</v>
      </c>
      <c r="D85" s="860" t="s">
        <v>1917</v>
      </c>
      <c r="E85" s="945">
        <f>10+IF(R27="ДРЕМУЧИЙ ЛЕС", IF(T35=TRUE, -30,0),0)+IF(G55=TRUE, -25,0)+IF(G73=TRUE, -20,0)+IF(G74=TRUE, -35,0)</f>
        <v>10</v>
      </c>
      <c r="F85" s="473"/>
      <c r="G85" s="473"/>
      <c r="H85" s="473"/>
      <c r="I85" s="909" t="s">
        <v>1903</v>
      </c>
      <c r="J85" s="946">
        <f t="shared" si="13"/>
        <v>0</v>
      </c>
      <c r="K85" s="909" t="s">
        <v>2050</v>
      </c>
      <c r="L85" s="910" t="str">
        <f>E67</f>
        <v/>
      </c>
      <c r="M85" s="956" t="s">
        <v>1987</v>
      </c>
      <c r="N85" s="893" t="str">
        <f t="shared" si="14"/>
        <v/>
      </c>
      <c r="O85" s="473"/>
      <c r="P85" s="473"/>
      <c r="Q85" s="962"/>
      <c r="R85" s="962"/>
      <c r="S85" s="473"/>
      <c r="T85" s="473"/>
    </row>
    <row r="86" ht="19.5" customHeight="1">
      <c r="B86" s="936" t="s">
        <v>1908</v>
      </c>
      <c r="C86" s="964">
        <f>10+IF(R27="ТЕНЬ", -40,0)+IF(G57=TRUE, -36,0)+IF(G58=TRUE, -20,0)+IF(G60=TRUE, -55,0)+IF(G73=TRUE, -20,0)+IF(T73=TRUE, -40, 0)</f>
        <v>10</v>
      </c>
      <c r="D86" s="938" t="s">
        <v>2109</v>
      </c>
      <c r="E86" s="939">
        <f>10+IF(G73=TRUE, -20,0)+IF(G74=TRUE, -35,0)+IF(G68=TRUE, -30,0)</f>
        <v>10</v>
      </c>
      <c r="F86" s="473"/>
      <c r="G86" s="473"/>
      <c r="H86" s="473"/>
      <c r="I86" s="897" t="s">
        <v>1907</v>
      </c>
      <c r="J86" s="949">
        <f>R13+R38+E71+IF(G77=TRUE, 15,0)+IF(P76=TRUE, 16, 0)</f>
        <v>0</v>
      </c>
      <c r="K86" s="897" t="s">
        <v>2124</v>
      </c>
      <c r="L86" s="965">
        <f>E68+IF(G70=TRUE, 2630,0)+IF(G68=TRUE, 258,0)+IF(T79=TRUE, 1200, 0)</f>
        <v>0</v>
      </c>
      <c r="M86" s="961" t="s">
        <v>2125</v>
      </c>
      <c r="N86" s="901">
        <f t="shared" si="14"/>
        <v>40</v>
      </c>
      <c r="O86" s="473"/>
      <c r="P86" s="473"/>
      <c r="Q86" s="962"/>
      <c r="R86" s="962"/>
      <c r="S86" s="473"/>
      <c r="T86" s="473"/>
    </row>
    <row r="87" ht="19.5" customHeight="1">
      <c r="B87" s="944" t="s">
        <v>2114</v>
      </c>
      <c r="C87" s="963">
        <f>10+IF(R27="ТЕНЬ", -40,0)+IF(G57=TRUE, -36,0)+IF(G65=TRUE, -40,0)+IF(G73=TRUE, -20,0)+IF(G74=TRUE, -35,0)+IF(T73=TRUE, -40, 0)</f>
        <v>10</v>
      </c>
      <c r="D87" s="860" t="s">
        <v>1914</v>
      </c>
      <c r="E87" s="945">
        <f>10+IF(C16=TRUE, -20, 0)+IF(G57=TRUE, -36,0)+IF(G73=TRUE, -20,0)+IF(G74=TRUE, -35,0)</f>
        <v>10</v>
      </c>
      <c r="F87" s="473"/>
      <c r="G87" s="473"/>
      <c r="H87" s="473"/>
      <c r="I87" s="909" t="s">
        <v>1910</v>
      </c>
      <c r="J87" s="946">
        <f>(R14+R39+E72)+IF(P76=TRUE, 16, 0)</f>
        <v>0</v>
      </c>
      <c r="K87" s="966" t="s">
        <v>2126</v>
      </c>
      <c r="L87" s="967">
        <f>(R16+R34+C63+IF(D16=TRUE, 15,0)+IF(G54=TRUE, 65,0)+IF(G61=TRUE, 25,0)+IF(G62=TRUE, 24,0)+IF(G69=TRUE, 22.5,0)+IF(G72=TRUE, 12,0)+IF(P79=TRUE, 28, 0))</f>
        <v>50</v>
      </c>
      <c r="M87" s="968" t="s">
        <v>2127</v>
      </c>
      <c r="N87" s="969"/>
      <c r="O87" s="473"/>
      <c r="P87" s="473"/>
      <c r="Q87" s="962"/>
      <c r="R87" s="962"/>
      <c r="S87" s="473"/>
      <c r="T87" s="473"/>
    </row>
    <row r="88" ht="19.5" customHeight="1">
      <c r="B88" s="936" t="s">
        <v>1911</v>
      </c>
      <c r="C88" s="964">
        <f>10+IF(R27="ТЕНЬ", -40,0)+IF(G57=TRUE, -36,0)+IF(G60=TRUE, -55,0)+IF(G73=TRUE, -20,0)+IF(T73=TRUE, -40, 0)</f>
        <v>10</v>
      </c>
      <c r="D88" s="938" t="s">
        <v>2119</v>
      </c>
      <c r="E88" s="939">
        <f>10+IF(G73=TRUE, -20,0)+IF(E89=TRUE, -40,0)</f>
        <v>10</v>
      </c>
      <c r="F88" s="473"/>
      <c r="G88" s="473"/>
      <c r="H88" s="473"/>
      <c r="I88" s="970" t="s">
        <v>1913</v>
      </c>
      <c r="J88" s="971">
        <f>(R15+R40+E73)+IF(P76=TRUE, 16, 0)+IF(R73=TRUE, 28, 0)</f>
        <v>0</v>
      </c>
      <c r="K88" s="972" t="s">
        <v>1939</v>
      </c>
      <c r="L88" s="973" t="str">
        <f t="shared" ref="L88:L92" si="15">R21</f>
        <v/>
      </c>
      <c r="M88" s="473"/>
      <c r="N88" s="473"/>
      <c r="O88" s="473"/>
      <c r="P88" s="473"/>
      <c r="Q88" s="962"/>
      <c r="R88" s="962"/>
      <c r="S88" s="473"/>
      <c r="T88" s="473"/>
    </row>
    <row r="89" ht="19.5" customHeight="1">
      <c r="B89" s="974" t="s">
        <v>2128</v>
      </c>
      <c r="C89" s="975"/>
      <c r="D89" s="975"/>
      <c r="E89" s="976" t="b">
        <v>0</v>
      </c>
      <c r="F89" s="473"/>
      <c r="G89" s="473"/>
      <c r="H89" s="473"/>
      <c r="I89" s="977" t="s">
        <v>1938</v>
      </c>
      <c r="J89" s="978" t="str">
        <f t="shared" ref="J89:J93" si="16">P21</f>
        <v/>
      </c>
      <c r="K89" s="979" t="s">
        <v>1942</v>
      </c>
      <c r="L89" s="980" t="str">
        <f t="shared" si="15"/>
        <v/>
      </c>
      <c r="M89" s="473"/>
      <c r="N89" s="473"/>
      <c r="O89" s="473"/>
      <c r="P89" s="473"/>
      <c r="Q89" s="473"/>
      <c r="R89" s="473"/>
      <c r="S89" s="473"/>
      <c r="T89" s="473"/>
    </row>
    <row r="90" ht="19.5" customHeight="1">
      <c r="B90" s="473"/>
      <c r="C90" s="473"/>
      <c r="D90" s="473"/>
      <c r="E90" s="473"/>
      <c r="F90" s="473"/>
      <c r="G90" s="473"/>
      <c r="H90" s="473"/>
      <c r="I90" s="981" t="s">
        <v>1941</v>
      </c>
      <c r="J90" s="982" t="str">
        <f t="shared" si="16"/>
        <v/>
      </c>
      <c r="K90" s="983" t="s">
        <v>1946</v>
      </c>
      <c r="L90" s="984" t="str">
        <f t="shared" si="15"/>
        <v/>
      </c>
      <c r="M90" s="473"/>
      <c r="N90" s="473"/>
      <c r="O90" s="473"/>
      <c r="P90" s="473"/>
      <c r="Q90" s="473"/>
      <c r="R90" s="473"/>
      <c r="S90" s="473"/>
      <c r="T90" s="473"/>
    </row>
    <row r="91" ht="19.5" customHeight="1">
      <c r="B91" s="473"/>
      <c r="C91" s="473"/>
      <c r="D91" s="473"/>
      <c r="E91" s="473"/>
      <c r="F91" s="473"/>
      <c r="G91" s="473"/>
      <c r="H91" s="473"/>
      <c r="I91" s="985" t="s">
        <v>1945</v>
      </c>
      <c r="J91" s="538" t="str">
        <f t="shared" si="16"/>
        <v/>
      </c>
      <c r="K91" s="979" t="s">
        <v>1948</v>
      </c>
      <c r="L91" s="980" t="str">
        <f t="shared" si="15"/>
        <v/>
      </c>
      <c r="M91" s="473"/>
      <c r="N91" s="473"/>
      <c r="O91" s="473"/>
      <c r="P91" s="473"/>
      <c r="Q91" s="473"/>
      <c r="R91" s="473"/>
      <c r="S91" s="473"/>
      <c r="T91" s="473"/>
    </row>
    <row r="92" ht="19.5" customHeight="1">
      <c r="B92" s="473"/>
      <c r="C92" s="473"/>
      <c r="D92" s="473"/>
      <c r="E92" s="473"/>
      <c r="F92" s="473"/>
      <c r="G92" s="473"/>
      <c r="H92" s="473"/>
      <c r="I92" s="981" t="s">
        <v>1947</v>
      </c>
      <c r="J92" s="982" t="str">
        <f t="shared" si="16"/>
        <v/>
      </c>
      <c r="K92" s="986" t="s">
        <v>1951</v>
      </c>
      <c r="L92" s="987" t="str">
        <f t="shared" si="15"/>
        <v/>
      </c>
      <c r="M92" s="473"/>
      <c r="N92" s="473"/>
      <c r="O92" s="473"/>
      <c r="P92" s="473"/>
      <c r="Q92" s="473"/>
      <c r="R92" s="473"/>
      <c r="S92" s="473"/>
      <c r="T92" s="473"/>
    </row>
    <row r="93" ht="19.5" customHeight="1">
      <c r="B93" s="473"/>
      <c r="C93" s="473"/>
      <c r="D93" s="473"/>
      <c r="E93" s="473"/>
      <c r="F93" s="473"/>
      <c r="G93" s="473"/>
      <c r="H93" s="473"/>
      <c r="I93" s="988" t="s">
        <v>1950</v>
      </c>
      <c r="J93" s="989" t="str">
        <f t="shared" si="16"/>
        <v/>
      </c>
      <c r="K93" s="473"/>
      <c r="L93" s="473"/>
      <c r="M93" s="473"/>
      <c r="N93" s="473"/>
      <c r="O93" s="473"/>
      <c r="P93" s="473"/>
      <c r="Q93" s="473"/>
      <c r="R93" s="473"/>
      <c r="S93" s="473"/>
      <c r="T93" s="473"/>
    </row>
    <row r="94" ht="19.5" customHeight="1">
      <c r="B94" s="473"/>
    </row>
    <row r="95" ht="19.5" customHeight="1">
      <c r="B95" s="990" t="s">
        <v>2129</v>
      </c>
      <c r="C95" s="991"/>
      <c r="D95" s="991"/>
      <c r="E95" s="991"/>
      <c r="F95" s="991"/>
      <c r="G95" s="991"/>
      <c r="H95" s="992"/>
      <c r="I95" s="582" t="s">
        <v>2130</v>
      </c>
      <c r="J95" s="583"/>
      <c r="K95" s="583"/>
      <c r="L95" s="583"/>
      <c r="M95" s="583"/>
      <c r="N95" s="584"/>
      <c r="O95" s="473"/>
      <c r="P95" s="993" t="s">
        <v>2131</v>
      </c>
      <c r="Q95" s="994"/>
      <c r="R95" s="994"/>
      <c r="S95" s="994"/>
      <c r="T95" s="995"/>
    </row>
    <row r="96" ht="19.5" customHeight="1">
      <c r="B96" s="996"/>
      <c r="C96" s="774"/>
      <c r="D96" s="774"/>
      <c r="E96" s="774"/>
      <c r="F96" s="774"/>
      <c r="G96" s="774"/>
      <c r="H96" s="997"/>
      <c r="I96" s="593"/>
      <c r="J96" s="594"/>
      <c r="K96" s="594"/>
      <c r="L96" s="594"/>
      <c r="M96" s="594"/>
      <c r="N96" s="595"/>
      <c r="P96" s="998"/>
      <c r="Q96" s="999"/>
      <c r="R96" s="999"/>
      <c r="S96" s="999"/>
      <c r="T96" s="1000"/>
    </row>
    <row r="97" ht="19.5" customHeight="1">
      <c r="B97" s="1001" t="s">
        <v>78</v>
      </c>
      <c r="C97" s="1002"/>
      <c r="D97" s="1003" t="s">
        <v>2132</v>
      </c>
      <c r="E97" s="779" t="s">
        <v>2133</v>
      </c>
      <c r="F97" s="779" t="s">
        <v>1926</v>
      </c>
      <c r="G97" s="778" t="s">
        <v>2134</v>
      </c>
      <c r="H97" s="1004" t="s">
        <v>69</v>
      </c>
      <c r="I97" s="1005" t="s">
        <v>2135</v>
      </c>
      <c r="J97" s="1006" t="s">
        <v>2132</v>
      </c>
      <c r="K97" s="1007" t="s">
        <v>2133</v>
      </c>
      <c r="L97" s="1007" t="s">
        <v>1926</v>
      </c>
      <c r="M97" s="1008" t="s">
        <v>2136</v>
      </c>
      <c r="N97" s="1009" t="s">
        <v>69</v>
      </c>
      <c r="P97" s="1010" t="s">
        <v>1925</v>
      </c>
      <c r="Q97" s="1007" t="s">
        <v>2137</v>
      </c>
      <c r="R97" s="1011" t="s">
        <v>2138</v>
      </c>
      <c r="S97" s="1012" t="s">
        <v>2139</v>
      </c>
      <c r="T97" s="1013" t="s">
        <v>2087</v>
      </c>
    </row>
    <row r="98" ht="19.5" customHeight="1">
      <c r="B98" s="1014" t="s">
        <v>2140</v>
      </c>
      <c r="C98" s="544"/>
      <c r="D98" s="1015">
        <f>ROUND(J98*2*(1+(2.78*J75)/(1400+J75)+P29%),0)</f>
        <v>8464</v>
      </c>
      <c r="E98" s="817">
        <f>ROUND(K98*2*(1+(2.78*J75)/(1400+J75)+P29%),0)</f>
        <v>25804</v>
      </c>
      <c r="F98" s="1016">
        <f>ROUND(L98*2*(1+(2.78*J75)/(1400+J75)+P29%),0)</f>
        <v>25804</v>
      </c>
      <c r="G98" s="1017">
        <f>ROUND(2*(1+(2.78*J75)/(1400+J75)+N73%),2)</f>
        <v>3.46</v>
      </c>
      <c r="H98" s="1018" t="s">
        <v>2141</v>
      </c>
      <c r="I98" s="627" t="str">
        <f t="shared" ref="I98:I124" si="17">S98</f>
        <v>ОБ. УДАРЫ</v>
      </c>
      <c r="J98" s="1019">
        <f t="array" ref="J98">ROUND((CHOOSE(MATCH(LOWER(TRIM(M98)),{"СА";"СА+ХП";"СА+МС";"СА+ЗЩ";"ХП";"ЗЩ"}, 0), J74,J74,J74,J74,J78,J79)*Q98%+CHOOSE(MATCH(LOWER(TRIM(M98)),{"СА";"СА+ХП";"СА+МС";"СА+ЗЩ";"ХП";"ЗЩ"}, 0), 0,J78,J75,J79,0,0)*R98%+IF(L19=TRUE,L86+ 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УДАР"},0),J84%,J85%,J86%,J87%,J88%,0))*(1-CHOOSE(MATCH(LOWER(TRIM(N98)),{"КРИО";"ПИРО";"ЭЛЕКТРО";"ГИДРО";"АНЕМО";"ГЕО";"ДЕНДРО";"ФИЗУХА"}, 0), C83,C80,C82,C81,E81,E82,E80,E83)%)*(D79),0)</f>
        <v>2444</v>
      </c>
      <c r="K98" s="1020">
        <f t="array" ref="K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УДАР"},0),J84%,J85%,J86%,J87%,J88%,0))*(1+J76%)*(1-CHOOSE(MATCH(LOWER(TRIM(N98)),{"КРИО";"ПИРО";"ЭЛЕКТРО";"ГИДРО";"АНЕМО";"ГЕО";"ДЕНДРО";"ФИЗУХА"}, 0), C83,C80,C82,C81,E81,E82,E80,E83)%)*(D79),0)</f>
        <v>7451</v>
      </c>
      <c r="L98" s="1020">
        <f t="array" ref="L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УДАР"},0),L84,L85,L81,L82,L83,0),0)+CHOOSE(MATCH(LOWER(TRIM(J19)),{"ПАР";"ОБ.ПАР";"ТАЯНИЕ";"ОБ.ТАЯНИЕ";"ОБОСТР.";"РАЗРАСТ.";"НЕТ"}, 0), 0,0,0,0,D102,D103,0))*(1+L87%+CHOOSE(MATCH(LOWER(TRIM(N98)),{"КРИО";"ПИРО";"ЭЛЕКТРО";"ГИДРО";"АНЕМО";"ГЕО";"ДЕНДРО";"ФИЗУХА"}, 0), L76,L73,L75,L74,L78,L77,L79,L80)%+CHOOSE(MATCH(LOWER(TRIM(S98)),{"ЕШКА";"УЛЬТА";"ОБ. УДАРЫ";"ЗАР. УДАРЫ";"ПРЫЖКИ";"УНИК. УДАР"},0),J84%,J85%,J86%,J87%,J88%,0))*(1+(J76%+CHOOSE(MATCH(LOWER(TRIM(S98)),{"ЕШКА";"УЛЬТА";"ОБ. УДАРЫ";"ЗАР. УДАРЫ";"ПРЫЖКИ";"УНИК. УДАР"},0),J91,J92,J89,J90,J93,0)%)*MIN((J77%+CHOOSE(MATCH(LOWER(TRIM(S98)),{"ЕШКА";"УЛЬТА";"ОБ. УДАРЫ";"ЗАР. УДАРЫ";"ПРЫЖКИ";"УНИК. УДАР"},0),L90,L91,L88,L89,L92,0)%),100%))*(1-CHOOSE(MATCH(LOWER(TRIM(N98)),{"КРИО";"ПИРО";"ЭЛЕКТРО";"ГИДРО";"АНЕМО";"ГЕО";"ДЕНДРО";"ФИЗУХА"}, 0), C83,C80,C82,C81,E81,E82,E80,E83)%)*(D79),0)</f>
        <v>7451</v>
      </c>
      <c r="M98" s="638" t="s">
        <v>125</v>
      </c>
      <c r="N98" s="1021" t="s">
        <v>2170</v>
      </c>
      <c r="P98" s="627" t="str">
        <f t="shared" ref="P98:P124" si="18">S98</f>
        <v>ОБ. УДАРЫ</v>
      </c>
      <c r="Q98" s="1022">
        <v>171.0</v>
      </c>
      <c r="R98" s="1023"/>
      <c r="S98" s="1024" t="s">
        <v>2142</v>
      </c>
      <c r="T98" s="1025" t="s">
        <v>2143</v>
      </c>
    </row>
    <row r="99" ht="19.5" customHeight="1">
      <c r="B99" s="1026" t="s">
        <v>2144</v>
      </c>
      <c r="C99" s="544"/>
      <c r="D99" s="1027">
        <f>ROUND(J98*1.5*(1+(2.78*J75)/(1400+J75)+P29%),0)</f>
        <v>6348</v>
      </c>
      <c r="E99" s="630">
        <f>ROUND(K98*1.5*(1+(2.78*J75)/(1400+J75)+P29%),0)</f>
        <v>19353</v>
      </c>
      <c r="F99" s="573">
        <f>ROUND(L98*1.5*(1+(2.78*J75)/(1400+J75)+P29%),0)</f>
        <v>19353</v>
      </c>
      <c r="G99" s="1028">
        <f>ROUND(1.5*(1+(2.78*J75)/(1400+J75)+N73%),2)</f>
        <v>2.6</v>
      </c>
      <c r="H99" s="1029" t="s">
        <v>2145</v>
      </c>
      <c r="I99" s="627" t="str">
        <f t="shared" si="17"/>
        <v>ОБ. УДАРЫ</v>
      </c>
      <c r="J99" s="1030">
        <f t="array" ref="J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УДАР"},0),J84%,J85%,J86%,J87%,J88%,0))*(1-CHOOSE(MATCH(LOWER(TRIM(N99)),{"КРИО";"ПИРО";"ЭЛЕКТРО";"ГИДРО";"АНЕМО";"ГЕО";"ДЕНДРО";"ФИЗУХА"}, 0), C83,C80,C82,C81,E81,E82,E80,E83)%)*(D79),0)</f>
        <v>2101</v>
      </c>
      <c r="K99" s="1031">
        <f t="array" ref="K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УДАР"},0),J84%,J85%,J86%,J87%,J88%,0))*(1+J76%)*(1-CHOOSE(MATCH(LOWER(TRIM(N99)),{"КРИО";"ПИРО";"ЭЛЕКТРО";"ГИДРО";"АНЕМО";"ГЕО";"ДЕНДРО";"ФИЗУХА"}, 0), C83,C80,C82,C81,E81,E82,E80,E83)%)*(D79),0)</f>
        <v>6405</v>
      </c>
      <c r="L99" s="1031">
        <f t="array" ref="L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УДАР"},0),L84,L85,L81,L82,L83,0),0)+CHOOSE(MATCH(LOWER(TRIM(J20)),{"ПАР";"ОБ.ПАР";"ТАЯНИЕ";"ОБ.ТАЯНИЕ";"ОБОСТР.";"РАЗРАСТ.";"НЕТ"}, 0), 0,0,0,0,D102,D103,0))*(1+L87%+CHOOSE(MATCH(LOWER(TRIM(N99)),{"КРИО";"ПИРО";"ЭЛЕКТРО";"ГИДРО";"АНЕМО";"ГЕО";"ДЕНДРО";"ФИЗУХА"}, 0), L76,L73,L75,L74,L78,L77,L79,L80)%+CHOOSE(MATCH(LOWER(TRIM(S99)),{"ЕШКА";"УЛЬТА";"ОБ. УДАРЫ";"ЗАР. УДАРЫ";"ПРЫЖКИ";"УНИК. УДАР"},0),J84%,J85%,J86%,J87%,J88%,0))*(1+(J76%+CHOOSE(MATCH(LOWER(TRIM(S99)),{"ЕШКА";"УЛЬТА";"ОБ. УДАРЫ";"ЗАР. УДАРЫ";"ПРЫЖКИ";"УНИК. УДАР"},0),J91,J92,J89,J90,J93,0)%)*MIN((J77%+CHOOSE(MATCH(LOWER(TRIM(S99)),{"ЕШКА";"УЛЬТА";"ОБ. УДАРЫ";"ЗАР. УДАРЫ";"ПРЫЖКИ";"УНИК. УДАР"},0),L90,L91,L88,L89,L92,0)%),100%))*(1-CHOOSE(MATCH(LOWER(TRIM(N99)),{"КРИО";"ПИРО";"ЭЛЕКТРО";"ГИДРО";"АНЕМО";"ГЕО";"ДЕНДРО";"ФИЗУХА"}, 0), C83,C80,C82,C81,E81,E82,E80,E83)%)*(D79),0)</f>
        <v>6405</v>
      </c>
      <c r="M99" s="629" t="s">
        <v>125</v>
      </c>
      <c r="N99" s="1021" t="s">
        <v>2170</v>
      </c>
      <c r="P99" s="627" t="str">
        <f t="shared" si="18"/>
        <v>ОБ. УДАРЫ</v>
      </c>
      <c r="Q99" s="1032">
        <v>147.0</v>
      </c>
      <c r="R99" s="1033"/>
      <c r="S99" s="1024" t="s">
        <v>2142</v>
      </c>
      <c r="T99" s="1025" t="s">
        <v>2143</v>
      </c>
    </row>
    <row r="100" ht="19.5" customHeight="1">
      <c r="B100" s="1014" t="s">
        <v>2146</v>
      </c>
      <c r="C100" s="544"/>
      <c r="D100" s="1015">
        <f>ROUND(J98*2*(1+(2.78*J75)/(1400+J75)+P30%),0)</f>
        <v>8464</v>
      </c>
      <c r="E100" s="817">
        <f>ROUND(K98*2*(1+(2.78*J75)/(1400+J75)+P30%),0)</f>
        <v>25804</v>
      </c>
      <c r="F100" s="1016">
        <f>ROUND(L98*2*(1+(2.78*J75)/(1400+J75)+P30%),0)</f>
        <v>25804</v>
      </c>
      <c r="G100" s="1017">
        <f>ROUND(2*(1+(2.78*J75)/(1400+J75)+N74%),2)</f>
        <v>3.46</v>
      </c>
      <c r="H100" s="1018" t="s">
        <v>2147</v>
      </c>
      <c r="I100" s="627" t="str">
        <f t="shared" si="17"/>
        <v>ОБ. УДАРЫ</v>
      </c>
      <c r="J100" s="1034">
        <f t="array" ref="J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УДАР"},0),J84%,J85%,J86%,J87%,J88%,0))*(1-CHOOSE(MATCH(LOWER(TRIM(N100)),{"КРИО";"ПИРО";"ЭЛЕКТРО";"ГИДРО";"АНЕМО";"ГЕО";"ДЕНДРО";"ФИЗУХА"}, 0), C83,C80,C82,C81,E81,E82,E80,E83)%)*(D79),0)</f>
        <v>2630</v>
      </c>
      <c r="K100" s="1020">
        <f t="array" ref="K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УДАР"},0),J84%,J85%,J86%,J87%,J88%,0))*(1+J76%)*(1-CHOOSE(MATCH(LOWER(TRIM(N100)),{"КРИО";"ПИРО";"ЭЛЕКТРО";"ГИДРО";"АНЕМО";"ГЕО";"ДЕНДРО";"ФИЗУХА"}, 0), C83,C80,C82,C81,E81,E82,E80,E83)%)*(D79),0)</f>
        <v>8017</v>
      </c>
      <c r="L100" s="1020">
        <f t="array" ref="L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УДАР"},0),L84,L85,L81,L82,L83,0),0)+CHOOSE(MATCH(LOWER(TRIM(J21)),{"ПАР";"ОБ.ПАР";"ТАЯНИЕ";"ОБ.ТАЯНИЕ";"ОБОСТР.";"РАЗРАСТ.";"НЕТ"}, 0), 0,0,0,0,D102,D103,0))*(1+L87%+CHOOSE(MATCH(LOWER(TRIM(N100)),{"КРИО";"ПИРО";"ЭЛЕКТРО";"ГИДРО";"АНЕМО";"ГЕО";"ДЕНДРО";"ФИЗУХА"}, 0), L76,L73,L75,L74,L78,L77,L79,L80)%+CHOOSE(MATCH(LOWER(TRIM(S100)),{"ЕШКА";"УЛЬТА";"ОБ. УДАРЫ";"ЗАР. УДАРЫ";"ПРЫЖКИ";"УНИК. УДАР"},0),J84%,J85%,J86%,J87%,J88%,0))*(1+(J76%+CHOOSE(MATCH(LOWER(TRIM(S100)),{"ЕШКА";"УЛЬТА";"ОБ. УДАРЫ";"ЗАР. УДАРЫ";"ПРЫЖКИ";"УНИК. УДАР"},0),J91,J92,J89,J90,J93,0)%)*MIN((J77%+CHOOSE(MATCH(LOWER(TRIM(S100)),{"ЕШКА";"УЛЬТА";"ОБ. УДАРЫ";"ЗАР. УДАРЫ";"ПРЫЖКИ";"УНИК. УДАР"},0),L90,L91,L88,L89,L92,0)%),100%))*(1-CHOOSE(MATCH(LOWER(TRIM(N100)),{"КРИО";"ПИРО";"ЭЛЕКТРО";"ГИДРО";"АНЕМО";"ГЕО";"ДЕНДРО";"ФИЗУХА"}, 0), C83,C80,C82,C81,E81,E82,E80,E83)%)*(D79),0)</f>
        <v>8017</v>
      </c>
      <c r="M100" s="629" t="s">
        <v>125</v>
      </c>
      <c r="N100" s="1021" t="s">
        <v>2170</v>
      </c>
      <c r="P100" s="627" t="str">
        <f t="shared" si="18"/>
        <v>ОБ. УДАРЫ</v>
      </c>
      <c r="Q100" s="1022">
        <v>184.0</v>
      </c>
      <c r="R100" s="1023"/>
      <c r="S100" s="1024" t="s">
        <v>2142</v>
      </c>
      <c r="T100" s="1025" t="s">
        <v>2143</v>
      </c>
    </row>
    <row r="101" ht="19.5" customHeight="1">
      <c r="B101" s="1026" t="s">
        <v>2148</v>
      </c>
      <c r="C101" s="544"/>
      <c r="D101" s="1027">
        <f>ROUND(J98*1.5*(1+(2.78*J75)/(1400+J75)+P30%),0)</f>
        <v>6348</v>
      </c>
      <c r="E101" s="630">
        <f>ROUND(K98*1.5*(1+(2.78*J75)/(1400+J75)+P30%),0)</f>
        <v>19353</v>
      </c>
      <c r="F101" s="573">
        <f>ROUND(L98*1.5*(1+(2.78*J75)/(1400+J75)+P30%),0)</f>
        <v>19353</v>
      </c>
      <c r="G101" s="1028">
        <f>ROUND(1.5*(1+(2.78*J75)/(1400+J75)+N74%),2)</f>
        <v>2.6</v>
      </c>
      <c r="H101" s="1029" t="s">
        <v>2149</v>
      </c>
      <c r="I101" s="627" t="str">
        <f t="shared" si="17"/>
        <v>ОБ. УДАРЫ</v>
      </c>
      <c r="J101" s="1030">
        <f t="array" ref="J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УДАР"},0),J84%,J85%,J86%,J87%,J88%,0))*(1-CHOOSE(MATCH(LOWER(TRIM(N101)),{"КРИО";"ПИРО";"ЭЛЕКТРО";"ГИДРО";"АНЕМО";"ГЕО";"ДЕНДРО";"ФИЗУХА"}, 0), C83,C80,C82,C81,E81,E82,E80,E83)%)*(D79),0)</f>
        <v>3473</v>
      </c>
      <c r="K101" s="1031">
        <f t="array" ref="K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УДАР"},0),J84%,J85%,J86%,J87%,J88%,0))*(1+J76%)*(1-CHOOSE(MATCH(LOWER(TRIM(N101)),{"КРИО";"ПИРО";"ЭЛЕКТРО";"ГИДРО";"АНЕМО";"ГЕО";"ДЕНДРО";"ФИЗУХА"}, 0), C83,C80,C82,C81,E81,E82,E80,E83)%)*(D79),0)</f>
        <v>10588</v>
      </c>
      <c r="L101" s="1031">
        <f t="array" ref="L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УДАР"},0),L84,L85,L81,L82,L83,0),0)+CHOOSE(MATCH(LOWER(TRIM(J22)),{"ПАР";"ОБ.ПАР";"ТАЯНИЕ";"ОБ.ТАЯНИЕ";"ОБОСТР.";"РАЗРАСТ.";"НЕТ"}, 0), 0,0,0,0,D102,D103,0))*(1+L87%+CHOOSE(MATCH(LOWER(TRIM(N101)),{"КРИО";"ПИРО";"ЭЛЕКТРО";"ГИДРО";"АНЕМО";"ГЕО";"ДЕНДРО";"ФИЗУХА"}, 0), L76,L73,L75,L74,L78,L77,L79,L80)%+CHOOSE(MATCH(LOWER(TRIM(S101)),{"ЕШКА";"УЛЬТА";"ОБ. УДАРЫ";"ЗАР. УДАРЫ";"ПРЫЖКИ";"УНИК. УДАР"},0),J84%,J85%,J86%,J87%,J88%,0))*(1+(J76%+CHOOSE(MATCH(LOWER(TRIM(S101)),{"ЕШКА";"УЛЬТА";"ОБ. УДАРЫ";"ЗАР. УДАРЫ";"ПРЫЖКИ";"УНИК. УДАР"},0),J91,J92,J89,J90,J93,0)%)*MIN((J77%+CHOOSE(MATCH(LOWER(TRIM(S101)),{"ЕШКА";"УЛЬТА";"ОБ. УДАРЫ";"ЗАР. УДАРЫ";"ПРЫЖКИ";"УНИК. УДАР"},0),L90,L91,L88,L89,L92,0)%),100%))*(1-CHOOSE(MATCH(LOWER(TRIM(N101)),{"КРИО";"ПИРО";"ЭЛЕКТРО";"ГИДРО";"АНЕМО";"ГЕО";"ДЕНДРО";"ФИЗУХА"}, 0), C83,C80,C82,C81,E81,E82,E80,E83)%)*(D79),0)</f>
        <v>10588</v>
      </c>
      <c r="M101" s="629" t="s">
        <v>125</v>
      </c>
      <c r="N101" s="1021" t="s">
        <v>2170</v>
      </c>
      <c r="P101" s="627" t="str">
        <f t="shared" si="18"/>
        <v>ОБ. УДАРЫ</v>
      </c>
      <c r="Q101" s="1032">
        <v>243.0</v>
      </c>
      <c r="R101" s="1033"/>
      <c r="S101" s="1024" t="s">
        <v>2142</v>
      </c>
      <c r="T101" s="1025" t="s">
        <v>2143</v>
      </c>
    </row>
    <row r="102" ht="19.5" customHeight="1">
      <c r="B102" s="1014" t="s">
        <v>2150</v>
      </c>
      <c r="C102" s="544"/>
      <c r="D102" s="1035">
        <f t="array" ref="D102">ROUND(1.15*(CHOOSE(MATCH(LOWER(TRIM(B23)),{"УРОВЕНЬ 100";"УРОВЕНЬ 95";"УРОВЕНЬ 90";"УРОВЕНЬ 80"},0),1674.8092,1561.468,1446.85,1077.44)*(1+(5*J75)/(1200+J75)+N75%)),0)</f>
        <v>4444</v>
      </c>
      <c r="E102" s="817" t="s">
        <v>14</v>
      </c>
      <c r="F102" s="1016" t="s">
        <v>14</v>
      </c>
      <c r="G102" s="816" t="s">
        <v>14</v>
      </c>
      <c r="H102" s="1018" t="s">
        <v>560</v>
      </c>
      <c r="I102" s="627" t="str">
        <f t="shared" si="17"/>
        <v>ЗАР. УДАРЫ</v>
      </c>
      <c r="J102" s="1034">
        <f t="array" ref="J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УДАР"},0),J84%,J85%,J86%,J87%,J88%,0))*(1-CHOOSE(MATCH(LOWER(TRIM(N102)),{"КРИО";"ПИРО";"ЭЛЕКТРО";"ГИДРО";"АНЕМО";"ГЕО";"ДЕНДРО";"ФИЗУХА"}, 0), C83,C80,C82,C81,E81,E82,E80,E83)%)*(D79),0)</f>
        <v>0</v>
      </c>
      <c r="K102" s="1020">
        <f t="array" ref="K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УДАР"},0),J84%,J85%,J86%,J87%,J88%,0))*(1+J76%)*(1-CHOOSE(MATCH(LOWER(TRIM(N102)),{"КРИО";"ПИРО";"ЭЛЕКТРО";"ГИДРО";"АНЕМО";"ГЕО";"ДЕНДРО";"ФИЗУХА"}, 0), C83,C80,C82,C81,E81,E82,E80,E83)%)*(D79),0)</f>
        <v>0</v>
      </c>
      <c r="L102" s="1020">
        <f t="array" ref="L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УДАР"},0),L84,L85,L81,L82,L83,0),0)+CHOOSE(MATCH(LOWER(TRIM(J23)),{"ПАР";"ОБ.ПАР";"ТАЯНИЕ";"ОБ.ТАЯНИЕ";"ОБОСТР.";"РАЗРАСТ.";"НЕТ"}, 0), 0,0,0,0,D102,D103,0))*(1+L87%+CHOOSE(MATCH(LOWER(TRIM(N102)),{"КРИО";"ПИРО";"ЭЛЕКТРО";"ГИДРО";"АНЕМО";"ГЕО";"ДЕНДРО";"ФИЗУХА"}, 0), L76,L73,L75,L74,L78,L77,L79,L80)%+CHOOSE(MATCH(LOWER(TRIM(S102)),{"ЕШКА";"УЛЬТА";"ОБ. УДАРЫ";"ЗАР. УДАРЫ";"ПРЫЖКИ";"УНИК. УДАР"},0),J84%,J85%,J86%,J87%,J88%,0))*(1+(J76%+CHOOSE(MATCH(LOWER(TRIM(S102)),{"ЕШКА";"УЛЬТА";"ОБ. УДАРЫ";"ЗАР. УДАРЫ";"ПРЫЖКИ";"УНИК. УДАР"},0),J91,J92,J89,J90,J93,0)%)*MIN((J77%+CHOOSE(MATCH(LOWER(TRIM(S102)),{"ЕШКА";"УЛЬТА";"ОБ. УДАРЫ";"ЗАР. УДАРЫ";"ПРЫЖКИ";"УНИК. УДАР"},0),L90,L91,L88,L89,L92,0)%),100%))*(1-CHOOSE(MATCH(LOWER(TRIM(N102)),{"КРИО";"ПИРО";"ЭЛЕКТРО";"ГИДРО";"АНЕМО";"ГЕО";"ДЕНДРО";"ФИЗУХА"}, 0), C83,C80,C82,C81,E81,E82,E80,E83)%)*(D79),0)</f>
        <v>0</v>
      </c>
      <c r="M102" s="629" t="s">
        <v>125</v>
      </c>
      <c r="N102" s="1021" t="s">
        <v>1981</v>
      </c>
      <c r="P102" s="627" t="str">
        <f t="shared" si="18"/>
        <v>ЗАР. УДАРЫ</v>
      </c>
      <c r="Q102" s="1022"/>
      <c r="R102" s="1023"/>
      <c r="S102" s="1024" t="s">
        <v>2151</v>
      </c>
      <c r="T102" s="1025" t="s">
        <v>2143</v>
      </c>
    </row>
    <row r="103" ht="19.5" customHeight="1">
      <c r="B103" s="1026" t="s">
        <v>2152</v>
      </c>
      <c r="C103" s="544"/>
      <c r="D103" s="1036">
        <f t="array" ref="D103">ROUND(1.25*(CHOOSE(MATCH(LOWER(TRIM(B23)),{"УРОВЕНЬ 100";"УРОВЕНЬ 95";"УРОВЕНЬ 90";"УРОВЕНЬ 80"},0),1674.8092,1561.468,1446.85,1077.44)*(1+(5*J75)/(1200+J75)+N75%)),0)</f>
        <v>4830</v>
      </c>
      <c r="E103" s="630" t="s">
        <v>14</v>
      </c>
      <c r="F103" s="573" t="s">
        <v>14</v>
      </c>
      <c r="G103" s="629" t="s">
        <v>14</v>
      </c>
      <c r="H103" s="1029" t="s">
        <v>569</v>
      </c>
      <c r="I103" s="627" t="str">
        <f t="shared" si="17"/>
        <v>ЕШКА</v>
      </c>
      <c r="J103" s="1030">
        <f t="array" ref="J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УДАР"},0),J84%,J85%,J86%,J87%,J88%,0))*(1-CHOOSE(MATCH(LOWER(TRIM(N103)),{"КРИО";"ПИРО";"ЭЛЕКТРО";"ГИДРО";"АНЕМО";"ГЕО";"ДЕНДРО";"ФИЗУХА"}, 0), C83,C80,C82,C81,E81,E82,E80,E83)%)*(D79),0)</f>
        <v>7106</v>
      </c>
      <c r="K103" s="1031">
        <f t="array" ref="K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УДАР"},0),J84%,J85%,J86%,J87%,J88%,0))*(1+J76%)*(1-CHOOSE(MATCH(LOWER(TRIM(N103)),{"КРИО";"ПИРО";"ЭЛЕКТРО";"ГИДРО";"АНЕМО";"ГЕО";"ДЕНДРО";"ФИЗУХА"}, 0), C83,C80,C82,C81,E81,E82,E80,E83)%)*(D79),0)</f>
        <v>21667</v>
      </c>
      <c r="L103" s="1031">
        <f t="array" ref="L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УДАР"},0),L84,L85,L81,L82,L83,0),0)+CHOOSE(MATCH(LOWER(TRIM(J24)),{"ПАР";"ОБ.ПАР";"ТАЯНИЕ";"ОБ.ТАЯНИЕ";"ОБОСТР.";"РАЗРАСТ.";"НЕТ"}, 0), 0,0,0,0,D102,D103,0))*(1+L87%+CHOOSE(MATCH(LOWER(TRIM(N103)),{"КРИО";"ПИРО";"ЭЛЕКТРО";"ГИДРО";"АНЕМО";"ГЕО";"ДЕНДРО";"ФИЗУХА"}, 0), L76,L73,L75,L74,L78,L77,L79,L80)%+CHOOSE(MATCH(LOWER(TRIM(S103)),{"ЕШКА";"УЛЬТА";"ОБ. УДАРЫ";"ЗАР. УДАРЫ";"ПРЫЖКИ";"УНИК. УДАР"},0),J84%,J85%,J86%,J87%,J88%,0))*(1+(J76%+CHOOSE(MATCH(LOWER(TRIM(S103)),{"ЕШКА";"УЛЬТА";"ОБ. УДАРЫ";"ЗАР. УДАРЫ";"ПРЫЖКИ";"УНИК. УДАР"},0),J91,J92,J89,J90,J93,0)%)*MIN((J77%+CHOOSE(MATCH(LOWER(TRIM(S103)),{"ЕШКА";"УЛЬТА";"ОБ. УДАРЫ";"ЗАР. УДАРЫ";"ПРЫЖКИ";"УНИК. УДАР"},0),L90,L91,L88,L89,L92,0)%),100%))*(1-CHOOSE(MATCH(LOWER(TRIM(N103)),{"КРИО";"ПИРО";"ЭЛЕКТРО";"ГИДРО";"АНЕМО";"ГЕО";"ДЕНДРО";"ФИЗУХА"}, 0), C83,C80,C82,C81,E81,E82,E80,E83)%)*(D79),0)</f>
        <v>35615</v>
      </c>
      <c r="M103" s="629" t="s">
        <v>125</v>
      </c>
      <c r="N103" s="1021" t="s">
        <v>1981</v>
      </c>
      <c r="P103" s="627" t="str">
        <f t="shared" si="18"/>
        <v>ЕШКА</v>
      </c>
      <c r="Q103" s="1032">
        <v>423.0</v>
      </c>
      <c r="R103" s="1033"/>
      <c r="S103" s="1024" t="s">
        <v>1898</v>
      </c>
      <c r="T103" s="1025" t="s">
        <v>2237</v>
      </c>
    </row>
    <row r="104" ht="19.5" customHeight="1">
      <c r="B104" s="1014" t="s">
        <v>2154</v>
      </c>
      <c r="C104" s="544"/>
      <c r="D104" s="1015">
        <v>0.0</v>
      </c>
      <c r="E104" s="817">
        <v>0.0</v>
      </c>
      <c r="F104" s="1016">
        <v>0.0</v>
      </c>
      <c r="G104" s="816" t="s">
        <v>14</v>
      </c>
      <c r="H104" s="1018" t="s">
        <v>159</v>
      </c>
      <c r="I104" s="627" t="str">
        <f t="shared" si="17"/>
        <v>ЕШКА</v>
      </c>
      <c r="J104" s="1034">
        <f t="array" ref="J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УДАР"},0),J84%,J85%,J86%,J87%,J88%,0))*(1-CHOOSE(MATCH(LOWER(TRIM(N104)),{"КРИО";"ПИРО";"ЭЛЕКТРО";"ГИДРО";"АНЕМО";"ГЕО";"ДЕНДРО";"ФИЗУХА"}, 0), C83,C80,C82,C81,E81,E82,E80,E83)%)*(D79),0)</f>
        <v>10534</v>
      </c>
      <c r="K104" s="1020">
        <f t="array" ref="K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УДАР"},0),J84%,J85%,J86%,J87%,J88%,0))*(1+J76%)*(1-CHOOSE(MATCH(LOWER(TRIM(N104)),{"КРИО";"ПИРО";"ЭЛЕКТРО";"ГИДРО";"АНЕМО";"ГЕО";"ДЕНДРО";"ФИЗУХА"}, 0), C83,C80,C82,C81,E81,E82,E80,E83)%)*(D79),0)</f>
        <v>32117</v>
      </c>
      <c r="L104" s="1020">
        <f t="array" ref="L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УДАР"},0),L84,L85,L81,L82,L83,0),0)+CHOOSE(MATCH(LOWER(TRIM(J25)),{"ПАР";"ОБ.ПАР";"ТАЯНИЕ";"ОБ.ТАЯНИЕ";"ОБОСТР.";"РАЗРАСТ.";"НЕТ"}, 0), 0,0,0,0,D102,D103,0))*(1+L87%+CHOOSE(MATCH(LOWER(TRIM(N104)),{"КРИО";"ПИРО";"ЭЛЕКТРО";"ГИДРО";"АНЕМО";"ГЕО";"ДЕНДРО";"ФИЗУХА"}, 0), L76,L73,L75,L74,L78,L77,L79,L80)%+CHOOSE(MATCH(LOWER(TRIM(S104)),{"ЕШКА";"УЛЬТА";"ОБ. УДАРЫ";"ЗАР. УДАРЫ";"ПРЫЖКИ";"УНИК. УДАР"},0),J84%,J85%,J86%,J87%,J88%,0))*(1+(J76%+CHOOSE(MATCH(LOWER(TRIM(S104)),{"ЕШКА";"УЛЬТА";"ОБ. УДАРЫ";"ЗАР. УДАРЫ";"ПРЫЖКИ";"УНИК. УДАР"},0),J91,J92,J89,J90,J93,0)%)*MIN((J77%+CHOOSE(MATCH(LOWER(TRIM(S104)),{"ЕШКА";"УЛЬТА";"ОБ. УДАРЫ";"ЗАР. УДАРЫ";"ПРЫЖКИ";"УНИК. УДАР"},0),L90,L91,L88,L89,L92,0)%),100%))*(1-CHOOSE(MATCH(LOWER(TRIM(N104)),{"КРИО";"ПИРО";"ЭЛЕКТРО";"ГИДРО";"АНЕМО";"ГЕО";"ДЕНДРО";"ФИЗУХА"}, 0), C83,C80,C82,C81,E81,E82,E80,E83)%)*(D79),0)</f>
        <v>32117</v>
      </c>
      <c r="M104" s="629" t="s">
        <v>125</v>
      </c>
      <c r="N104" s="1021" t="s">
        <v>1981</v>
      </c>
      <c r="P104" s="627" t="str">
        <f t="shared" si="18"/>
        <v>ЕШКА</v>
      </c>
      <c r="Q104" s="1022">
        <v>627.0</v>
      </c>
      <c r="R104" s="1023"/>
      <c r="S104" s="1024" t="s">
        <v>1898</v>
      </c>
      <c r="T104" s="1025" t="s">
        <v>2237</v>
      </c>
    </row>
    <row r="105" ht="19.5" customHeight="1">
      <c r="B105" s="1026" t="s">
        <v>2155</v>
      </c>
      <c r="C105" s="544"/>
      <c r="D105" s="1037"/>
      <c r="E105" s="1037"/>
      <c r="F105" s="1037"/>
      <c r="G105" s="1038" t="s">
        <v>14</v>
      </c>
      <c r="H105" s="1039" t="s">
        <v>159</v>
      </c>
      <c r="I105" s="627" t="str">
        <f t="shared" si="17"/>
        <v>УЛЬТА</v>
      </c>
      <c r="J105" s="1030">
        <f t="array" ref="J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УДАР"},0),J84%,J85%,J86%,J87%,J88%,0))*(1-CHOOSE(MATCH(LOWER(TRIM(N105)),{"КРИО";"ПИРО";"ЭЛЕКТРО";"ГИДРО";"АНЕМО";"ГЕО";"ДЕНДРО";"ФИЗУХА"}, 0), C83,C80,C82,C81,E81,E82,E80,E83)%)*(D79),0)</f>
        <v>0</v>
      </c>
      <c r="K105" s="1031">
        <f t="array" ref="K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УДАР"},0),J84%,J85%,J86%,J87%,J88%,0))*(1+J76%)*(1-CHOOSE(MATCH(LOWER(TRIM(N105)),{"КРИО";"ПИРО";"ЭЛЕКТРО";"ГИДРО";"АНЕМО";"ГЕО";"ДЕНДРО";"ФИЗУХА"}, 0), C83,C80,C82,C81,E81,E82,E80,E83)%)*(D79),0)</f>
        <v>0</v>
      </c>
      <c r="L105" s="1031">
        <f t="array" ref="L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УДАР"},0),L84,L85,L81,L82,L83,0),0)+CHOOSE(MATCH(LOWER(TRIM(J26)),{"ПАР";"ОБ.ПАР";"ТАЯНИЕ";"ОБ.ТАЯНИЕ";"ОБОСТР.";"РАЗРАСТ.";"НЕТ"}, 0), 0,0,0,0,D102,D103,0))*(1+L87%+CHOOSE(MATCH(LOWER(TRIM(N105)),{"КРИО";"ПИРО";"ЭЛЕКТРО";"ГИДРО";"АНЕМО";"ГЕО";"ДЕНДРО";"ФИЗУХА"}, 0), L76,L73,L75,L74,L78,L77,L79,L80)%+CHOOSE(MATCH(LOWER(TRIM(S105)),{"ЕШКА";"УЛЬТА";"ОБ. УДАРЫ";"ЗАР. УДАРЫ";"ПРЫЖКИ";"УНИК. УДАР"},0),J84%,J85%,J86%,J87%,J88%,0))*(1+(J76%+CHOOSE(MATCH(LOWER(TRIM(S105)),{"ЕШКА";"УЛЬТА";"ОБ. УДАРЫ";"ЗАР. УДАРЫ";"ПРЫЖКИ";"УНИК. УДАР"},0),J91,J92,J89,J90,J93,0)%)*MIN((J77%+CHOOSE(MATCH(LOWER(TRIM(S105)),{"ЕШКА";"УЛЬТА";"ОБ. УДАРЫ";"ЗАР. УДАРЫ";"ПРЫЖКИ";"УНИК. УДАР"},0),L90,L91,L88,L89,L92,0)%),100%))*(1-CHOOSE(MATCH(LOWER(TRIM(N105)),{"КРИО";"ПИРО";"ЭЛЕКТРО";"ГИДРО";"АНЕМО";"ГЕО";"ДЕНДРО";"ФИЗУХА"}, 0), C83,C80,C82,C81,E81,E82,E80,E83)%)*(D79),0)</f>
        <v>0</v>
      </c>
      <c r="M105" s="629" t="s">
        <v>125</v>
      </c>
      <c r="N105" s="1021" t="s">
        <v>1981</v>
      </c>
      <c r="P105" s="627" t="str">
        <f t="shared" si="18"/>
        <v>УЛЬТА</v>
      </c>
      <c r="Q105" s="1032"/>
      <c r="R105" s="1033"/>
      <c r="S105" s="1024" t="s">
        <v>1902</v>
      </c>
      <c r="T105" s="1025" t="s">
        <v>2143</v>
      </c>
    </row>
    <row r="106" ht="19.5" customHeight="1">
      <c r="B106" s="1014" t="s">
        <v>2156</v>
      </c>
      <c r="C106" s="544"/>
      <c r="D106" s="1015">
        <v>0.0</v>
      </c>
      <c r="E106" s="817">
        <v>0.0</v>
      </c>
      <c r="F106" s="1016">
        <v>0.0</v>
      </c>
      <c r="G106" s="816" t="s">
        <v>14</v>
      </c>
      <c r="H106" s="1018" t="s">
        <v>159</v>
      </c>
      <c r="I106" s="627" t="str">
        <f t="shared" si="17"/>
        <v>УЛЬТА</v>
      </c>
      <c r="J106" s="1034">
        <f t="array" ref="J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УДАР"},0),J84%,J85%,J86%,J87%,J88%,0))*(1-CHOOSE(MATCH(LOWER(TRIM(N106)),{"КРИО";"ПИРО";"ЭЛЕКТРО";"ГИДРО";"АНЕМО";"ГЕО";"ДЕНДРО";"ФИЗУХА"}, 0), C83,C80,C82,C81,E81,E82,E80,E83)%)*(D79),0)</f>
        <v>5712</v>
      </c>
      <c r="K106" s="1020">
        <f t="array" ref="K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УДАР"},0),J84%,J85%,J86%,J87%,J88%,0))*(1+J76%)*(1-CHOOSE(MATCH(LOWER(TRIM(N106)),{"КРИО";"ПИРО";"ЭЛЕКТРО";"ГИДРО";"АНЕМО";"ГЕО";"ДЕНДРО";"ФИЗУХА"}, 0), C83,C80,C82,C81,E81,E82,E80,E83)%)*(D79),0)</f>
        <v>17416</v>
      </c>
      <c r="L106" s="1020">
        <f t="array" ref="L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УДАР"},0),L84,L85,L81,L82,L83,0),0)+CHOOSE(MATCH(LOWER(TRIM(J27)),{"ПАР";"ОБ.ПАР";"ТАЯНИЕ";"ОБ.ТАЯНИЕ";"ОБОСТР.";"РАЗРАСТ.";"НЕТ"}, 0), 0,0,0,0,D102,D103,0))*(1+L87%+CHOOSE(MATCH(LOWER(TRIM(N106)),{"КРИО";"ПИРО";"ЭЛЕКТРО";"ГИДРО";"АНЕМО";"ГЕО";"ДЕНДРО";"ФИЗУХА"}, 0), L76,L73,L75,L74,L78,L77,L79,L80)%+CHOOSE(MATCH(LOWER(TRIM(S106)),{"ЕШКА";"УЛЬТА";"ОБ. УДАРЫ";"ЗАР. УДАРЫ";"ПРЫЖКИ";"УНИК. УДАР"},0),J84%,J85%,J86%,J87%,J88%,0))*(1+(J76%+CHOOSE(MATCH(LOWER(TRIM(S106)),{"ЕШКА";"УЛЬТА";"ОБ. УДАРЫ";"ЗАР. УДАРЫ";"ПРЫЖКИ";"УНИК. УДАР"},0),J91,J92,J89,J90,J93,0)%)*MIN((J77%+CHOOSE(MATCH(LOWER(TRIM(S106)),{"ЕШКА";"УЛЬТА";"ОБ. УДАРЫ";"ЗАР. УДАРЫ";"ПРЫЖКИ";"УНИК. УДАР"},0),L90,L91,L88,L89,L92,0)%),100%))*(1-CHOOSE(MATCH(LOWER(TRIM(N106)),{"КРИО";"ПИРО";"ЭЛЕКТРО";"ГИДРО";"АНЕМО";"ГЕО";"ДЕНДРО";"ФИЗУХА"}, 0), C83,C80,C82,C81,E81,E82,E80,E83)%)*(D79),0)</f>
        <v>31364</v>
      </c>
      <c r="M106" s="629" t="s">
        <v>125</v>
      </c>
      <c r="N106" s="1021" t="s">
        <v>1981</v>
      </c>
      <c r="P106" s="627" t="str">
        <f t="shared" si="18"/>
        <v>УЛЬТА</v>
      </c>
      <c r="Q106" s="1022">
        <v>340.0</v>
      </c>
      <c r="R106" s="1023"/>
      <c r="S106" s="1024" t="s">
        <v>1902</v>
      </c>
      <c r="T106" s="1025" t="s">
        <v>2237</v>
      </c>
    </row>
    <row r="107" ht="19.5" customHeight="1">
      <c r="B107" s="1026" t="s">
        <v>2010</v>
      </c>
      <c r="C107" s="544"/>
      <c r="D107" s="338">
        <f t="array" ref="D107">ROUND(2*(CHOOSE(MATCH(LOWER(TRIM(B23)),{"УРОВЕНЬ 100";"УРОВЕНЬ 95";"УРОВЕНЬ 90";"УРОВЕНЬ 80"},0),1674.8092,1561.468,1446.85,1077.44)*(1+(16*J75)/(2000+J75)+N76%)*(1-E80%)),0)</f>
        <v>10938</v>
      </c>
      <c r="E107" s="338">
        <f t="array" ref="E107">ROUND(2*(CHOOSE(MATCH(LOWER(TRIM(B23)),{"УРОВЕНЬ 100";"УРОВЕНЬ 95";"УРОВЕНЬ 90";"УРОВЕНЬ 80"},0),1674.8092,1561.468,1446.85,1077.44)*(1+(16*J75)/(2000+J75)+N76%)*(1-E80%))*CHOOSE(MATCH(LOWER(TRIM(B107)),{"БУТОН";"БУТОН+С2(НАХ)";"БУТОН+А1(ЛАУ)";"БУТОН+С2+А1"},0), 1,2,2,2),0)</f>
        <v>10938</v>
      </c>
      <c r="F107" s="1040">
        <f t="array" ref="F107">ROUND(2*(CHOOSE(MATCH(LOWER(TRIM(B23)),{"УРОВЕНЬ 100";"УРОВЕНЬ 95";"УРОВЕНЬ 90";"УРОВЕНЬ 80"},0),1674.8092,1561.468,1446.85,1077.44)*(1+(16*J75)/(2000+J75)+N76%)*(1-E80%))*CHOOSE(MATCH(LOWER(TRIM(B107)),{"БУТОН";"БУТОН+С2(НАХ)";"БУТОН+А1(ЛАУ)";"БУТОН+С2+А1"},0), 1,1.2,1.15,1.45)+IF(G55=true,K69*500%,0),0)</f>
        <v>10938</v>
      </c>
      <c r="G107" s="1041" t="s">
        <v>14</v>
      </c>
      <c r="H107" s="1029" t="s">
        <v>569</v>
      </c>
      <c r="I107" s="627" t="str">
        <f t="shared" si="17"/>
        <v>УЛЬТА</v>
      </c>
      <c r="J107" s="1030">
        <f t="array" ref="J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УДАР"},0),J84%,J85%,J86%,J87%,J88%,0))*(1-CHOOSE(MATCH(LOWER(TRIM(N107)),{"КРИО";"ПИРО";"ЭЛЕКТРО";"ГИДРО";"АНЕМО";"ГЕО";"ДЕНДРО";"ФИЗУХА"}, 0), C83,C80,C82,C81,E81,E82,E80,E83)%)*(D79),0)</f>
        <v>2641</v>
      </c>
      <c r="K107" s="1031">
        <f t="array" ref="K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УДАР"},0),J84%,J85%,J86%,J87%,J88%,0))*(1+J76%)*(1-CHOOSE(MATCH(LOWER(TRIM(N107)),{"КРИО";"ПИРО";"ЭЛЕКТРО";"ГИДРО";"АНЕМО";"ГЕО";"ДЕНДРО";"ФИЗУХА"}, 0), C83,C80,C82,C81,E81,E82,E80,E83)%)*(D79),0)</f>
        <v>8053</v>
      </c>
      <c r="L107" s="1031">
        <f t="array" ref="L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УДАР"},0),L84,L85,L81,L82,L83,0),0)+CHOOSE(MATCH(LOWER(TRIM(J28)),{"ПАР";"ОБ.ПАР";"ТАЯНИЕ";"ОБ.ТАЯНИЕ";"ОБОСТР.";"РАЗРАСТ.";"НЕТ"}, 0), 0,0,0,0,D102,D103,0))*(1+L87%+CHOOSE(MATCH(LOWER(TRIM(N107)),{"КРИО";"ПИРО";"ЭЛЕКТРО";"ГИДРО";"АНЕМО";"ГЕО";"ДЕНДРО";"ФИЗУХА"}, 0), L76,L73,L75,L74,L78,L77,L79,L80)%+CHOOSE(MATCH(LOWER(TRIM(S107)),{"ЕШКА";"УЛЬТА";"ОБ. УДАРЫ";"ЗАР. УДАРЫ";"ПРЫЖКИ";"УНИК. УДАР"},0),J84%,J85%,J86%,J87%,J88%,0))*(1+(J76%+CHOOSE(MATCH(LOWER(TRIM(S107)),{"ЕШКА";"УЛЬТА";"ОБ. УДАРЫ";"ЗАР. УДАРЫ";"ПРЫЖКИ";"УНИК. УДАР"},0),J91,J92,J89,J90,J93,0)%)*MIN((J77%+CHOOSE(MATCH(LOWER(TRIM(S107)),{"ЕШКА";"УЛЬТА";"ОБ. УДАРЫ";"ЗАР. УДАРЫ";"ПРЫЖКИ";"УНИК. УДАР"},0),L90,L91,L88,L89,L92,0)%),100%))*(1-CHOOSE(MATCH(LOWER(TRIM(N107)),{"КРИО";"ПИРО";"ЭЛЕКТРО";"ГИДРО";"АНЕМО";"ГЕО";"ДЕНДРО";"ФИЗУХА"}, 0), C83,C80,C82,C81,E81,E82,E80,E83)%)*(D79),0)</f>
        <v>8053</v>
      </c>
      <c r="M107" s="629" t="s">
        <v>125</v>
      </c>
      <c r="N107" s="1021" t="s">
        <v>1981</v>
      </c>
      <c r="P107" s="627" t="str">
        <f t="shared" si="18"/>
        <v>УЛЬТА</v>
      </c>
      <c r="Q107" s="1032">
        <f t="shared" ref="Q107:Q110" si="19">Q98*0.51+70</f>
        <v>157.21</v>
      </c>
      <c r="R107" s="1033"/>
      <c r="S107" s="1024" t="s">
        <v>1902</v>
      </c>
      <c r="T107" s="1025" t="s">
        <v>2237</v>
      </c>
    </row>
    <row r="108" ht="19.5" customHeight="1">
      <c r="B108" s="1026" t="s">
        <v>2014</v>
      </c>
      <c r="C108" s="544"/>
      <c r="D108" s="1035">
        <f t="array" ref="D108">ROUND(3*(CHOOSE(MATCH(LOWER(TRIM(B23)),{"УРОВЕНЬ 100";"УРОВЕНЬ 95";"УРОВЕНЬ 90";"УРОВЕНЬ 80"},0),1674.8092,1561.468,1446.85,1077.44)*(1+(16*J75)/(2000+J75)+N78%)*(1-E80%)),0)</f>
        <v>17970</v>
      </c>
      <c r="E108" s="1042">
        <f t="array" ref="E108">ROUND(3*(CHOOSE(MATCH(LOWER(TRIM(B23)),{"УРОВЕНЬ 100";"УРОВЕНЬ 95";"УРОВЕНЬ 90";"УРОВЕНЬ 80"},0),1674.8092,1561.468,1446.85,1077.44)*(1+(16*J75)/(2000+J75)+N78%)*(1-E80%))*CHOOSE(MATCH(LOWER(TRIM(B108)),{"ВЕГЕТАЦИЯ";"ВЕГЕТАЦИЯ+С2";"ВЕГЕТАЦИЯ+А1";"ВЕГЕТ.+С2+А1"},0), 1,2,2,2),0)</f>
        <v>17970</v>
      </c>
      <c r="F108" s="1043">
        <f t="array" ref="F108">ROUND(3*(CHOOSE(MATCH(LOWER(TRIM(B23)),{"УРОВЕНЬ 100";"УРОВЕНЬ 95";"УРОВЕНЬ 90";"УРОВЕНЬ 80"},0),1674.8092,1561.468,1446.85,1077.44)*(1+(16*J75)/(2000+J75)+N78%)*(1-E80%))*CHOOSE(MATCH(LOWER(TRIM(B108)),{"ВЕГЕТАЦИЯ";"ВЕГЕТАЦИЯ+С2";"ВЕГЕТАЦИЯ+А1";"ВЕГЕТ.+С2+А1"},0), 1,1.2,1.15,1.45)+IF(G55=true,K69*500%,0),0)</f>
        <v>17970</v>
      </c>
      <c r="G108" s="816" t="s">
        <v>14</v>
      </c>
      <c r="H108" s="1018" t="s">
        <v>569</v>
      </c>
      <c r="I108" s="627" t="str">
        <f t="shared" si="17"/>
        <v>УЛЬТА</v>
      </c>
      <c r="J108" s="1034">
        <f t="array" ref="J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УДАР"},0),J84%,J85%,J86%,J87%,J88%,0))*(1-CHOOSE(MATCH(LOWER(TRIM(N108)),{"КРИО";"ПИРО";"ЭЛЕКТРО";"ГИДРО";"АНЕМО";"ГЕО";"ДЕНДРО";"ФИЗУХА"}, 0), C83,C80,C82,C81,E81,E82,E80,E83)%)*(D79),0)</f>
        <v>2435</v>
      </c>
      <c r="K108" s="1020">
        <f t="array" ref="K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УДАР"},0),J84%,J85%,J86%,J87%,J88%,0))*(1+J76%)*(1-CHOOSE(MATCH(LOWER(TRIM(N108)),{"КРИО";"ПИРО";"ЭЛЕКТРО";"ГИДРО";"АНЕМО";"ГЕО";"ДЕНДРО";"ФИЗУХА"}, 0), C83,C80,C82,C81,E81,E82,E80,E83)%)*(D79),0)</f>
        <v>7426</v>
      </c>
      <c r="L108" s="1020">
        <f t="array" ref="L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УДАР"},0),L84,L85,L81,L82,L83,0),0)+CHOOSE(MATCH(LOWER(TRIM(J29)),{"ПАР";"ОБ.ПАР";"ТАЯНИЕ";"ОБ.ТАЯНИЕ";"ОБОСТР.";"РАЗРАСТ.";"НЕТ"}, 0), 0,0,0,0,D102,D103,0))*(1+L87%+CHOOSE(MATCH(LOWER(TRIM(N108)),{"КРИО";"ПИРО";"ЭЛЕКТРО";"ГИДРО";"АНЕМО";"ГЕО";"ДЕНДРО";"ФИЗУХА"}, 0), L76,L73,L75,L74,L78,L77,L79,L80)%+CHOOSE(MATCH(LOWER(TRIM(S108)),{"ЕШКА";"УЛЬТА";"ОБ. УДАРЫ";"ЗАР. УДАРЫ";"ПРЫЖКИ";"УНИК. УДАР"},0),J84%,J85%,J86%,J87%,J88%,0))*(1+(J76%+CHOOSE(MATCH(LOWER(TRIM(S108)),{"ЕШКА";"УЛЬТА";"ОБ. УДАРЫ";"ЗАР. УДАРЫ";"ПРЫЖКИ";"УНИК. УДАР"},0),J91,J92,J89,J90,J93,0)%)*MIN((J77%+CHOOSE(MATCH(LOWER(TRIM(S108)),{"ЕШКА";"УЛЬТА";"ОБ. УДАРЫ";"ЗАР. УДАРЫ";"ПРЫЖКИ";"УНИК. УДАР"},0),L90,L91,L88,L89,L92,0)%),100%))*(1-CHOOSE(MATCH(LOWER(TRIM(N108)),{"КРИО";"ПИРО";"ЭЛЕКТРО";"ГИДРО";"АНЕМО";"ГЕО";"ДЕНДРО";"ФИЗУХА"}, 0), C83,C80,C82,C81,E81,E82,E80,E83)%)*(D79),0)</f>
        <v>21374</v>
      </c>
      <c r="M108" s="629" t="s">
        <v>125</v>
      </c>
      <c r="N108" s="1021" t="s">
        <v>1981</v>
      </c>
      <c r="P108" s="627" t="str">
        <f t="shared" si="18"/>
        <v>УЛЬТА</v>
      </c>
      <c r="Q108" s="1022">
        <f t="shared" si="19"/>
        <v>144.97</v>
      </c>
      <c r="R108" s="1023"/>
      <c r="S108" s="1024" t="s">
        <v>1902</v>
      </c>
      <c r="T108" s="1025" t="s">
        <v>2237</v>
      </c>
    </row>
    <row r="109" ht="19.5" customHeight="1">
      <c r="B109" s="1026" t="s">
        <v>2019</v>
      </c>
      <c r="C109" s="544"/>
      <c r="D109" s="1036">
        <f t="array" ref="D109">ROUND(3*(CHOOSE(MATCH(LOWER(TRIM(B23)),{"УРОВЕНЬ 100";"УРОВЕНЬ 95";"УРОВЕНЬ 90";"УРОВЕНЬ 80"},0),1674.8092,1561.468,1446.85,1077.44)*(1+(16*J75)/(2000+J75)+N79%)*(1-E80%)),0)</f>
        <v>16407</v>
      </c>
      <c r="E109" s="628">
        <f t="array" ref="E109">ROUND(3*(CHOOSE(MATCH(LOWER(TRIM(B23)),{"УРОВЕНЬ 100";"УРОВЕНЬ 95";"УРОВЕНЬ 90";"УРОВЕНЬ 80"},0),1674.8092,1561.468,1446.85,1077.44)*(1+(16*J75)/(2000+J75)+N79%)*(1-E80%))*CHOOSE(MATCH(LOWER(TRIM(B109)),{"ЦВЕТЕНИЕ";"ЦВЕТЕНИЕ+С2";"ЦВЕТЕНИЕ+А1";"ЦВЕТ.+С2+А1"},0), 1,2,2,2),0)</f>
        <v>16407</v>
      </c>
      <c r="F109" s="1044">
        <f t="array" ref="F109">ROUND(3*(CHOOSE(MATCH(LOWER(TRIM(B23)),{"УРОВЕНЬ 100";"УРОВЕНЬ 95";"УРОВЕНЬ 90";"УРОВЕНЬ 80"},0),1674.8092,1561.468,1446.85,1077.44)*(1+(16*J75)/(2000+J75)+N79%)*(1-E80%))*CHOOSE(MATCH(LOWER(TRIM(B109)),{"ЦВЕТЕНИЕ";"ЦВЕТЕНИЕ+С2";"ЦВЕТЕНИЕ+А1";"ЦВЕТ.+С2+А1"},0), 1,1.2,1.15,1.45)+IF(G55=true,K69*500%,0),0)</f>
        <v>16407</v>
      </c>
      <c r="G109" s="629" t="s">
        <v>14</v>
      </c>
      <c r="H109" s="1029" t="s">
        <v>569</v>
      </c>
      <c r="I109" s="627" t="str">
        <f t="shared" si="17"/>
        <v>УЛЬТА</v>
      </c>
      <c r="J109" s="1030">
        <f t="array" ref="J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УДАР"},0),J84%,J85%,J86%,J87%,J88%,0))*(1-CHOOSE(MATCH(LOWER(TRIM(N109)),{"КРИО";"ПИРО";"ЭЛЕКТРО";"ГИДРО";"АНЕМО";"ГЕО";"ДЕНДРО";"ФИЗУХА"}, 0), C83,C80,C82,C81,E81,E82,E80,E83)%)*(D79),0)</f>
        <v>2752</v>
      </c>
      <c r="K109" s="1031">
        <f t="array" ref="K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УДАР"},0),J84%,J85%,J86%,J87%,J88%,0))*(1+J76%)*(1-CHOOSE(MATCH(LOWER(TRIM(N109)),{"КРИО";"ПИРО";"ЭЛЕКТРО";"ГИДРО";"АНЕМО";"ГЕО";"ДЕНДРО";"ФИЗУХА"}, 0), C83,C80,C82,C81,E81,E82,E80,E83)%)*(D79),0)</f>
        <v>8392</v>
      </c>
      <c r="L109" s="1031">
        <f t="array" ref="L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УДАР"},0),L84,L85,L81,L82,L83,0),0)+CHOOSE(MATCH(LOWER(TRIM(J30)),{"ПАР";"ОБ.ПАР";"ТАЯНИЕ";"ОБ.ТАЯНИЕ";"ОБОСТР.";"РАЗРАСТ.";"НЕТ"}, 0), 0,0,0,0,D102,D103,0))*(1+L87%+CHOOSE(MATCH(LOWER(TRIM(N109)),{"КРИО";"ПИРО";"ЭЛЕКТРО";"ГИДРО";"АНЕМО";"ГЕО";"ДЕНДРО";"ФИЗУХА"}, 0), L76,L73,L75,L74,L78,L77,L79,L80)%+CHOOSE(MATCH(LOWER(TRIM(S109)),{"ЕШКА";"УЛЬТА";"ОБ. УДАРЫ";"ЗАР. УДАРЫ";"ПРЫЖКИ";"УНИК. УДАР"},0),J84%,J85%,J86%,J87%,J88%,0))*(1+(J76%+CHOOSE(MATCH(LOWER(TRIM(S109)),{"ЕШКА";"УЛЬТА";"ОБ. УДАРЫ";"ЗАР. УДАРЫ";"ПРЫЖКИ";"УНИК. УДАР"},0),J91,J92,J89,J90,J93,0)%)*MIN((J77%+CHOOSE(MATCH(LOWER(TRIM(S109)),{"ЕШКА";"УЛЬТА";"ОБ. УДАРЫ";"ЗАР. УДАРЫ";"ПРЫЖКИ";"УНИК. УДАР"},0),L90,L91,L88,L89,L92,0)%),100%))*(1-CHOOSE(MATCH(LOWER(TRIM(N109)),{"КРИО";"ПИРО";"ЭЛЕКТРО";"ГИДРО";"АНЕМО";"ГЕО";"ДЕНДРО";"ФИЗУХА"}, 0), C83,C80,C82,C81,E81,E82,E80,E83)%)*(D79),0)</f>
        <v>8392</v>
      </c>
      <c r="M109" s="629" t="s">
        <v>125</v>
      </c>
      <c r="N109" s="1021" t="s">
        <v>1981</v>
      </c>
      <c r="P109" s="627" t="str">
        <f t="shared" si="18"/>
        <v>УЛЬТА</v>
      </c>
      <c r="Q109" s="1032">
        <f t="shared" si="19"/>
        <v>163.84</v>
      </c>
      <c r="R109" s="1033"/>
      <c r="S109" s="1024" t="s">
        <v>1902</v>
      </c>
      <c r="T109" s="1025" t="s">
        <v>2237</v>
      </c>
    </row>
    <row r="110" ht="19.5" customHeight="1">
      <c r="B110" s="1014" t="s">
        <v>2158</v>
      </c>
      <c r="C110" s="544"/>
      <c r="D110" s="1035">
        <f t="array" ref="D110">ROUND(2*(CHOOSE(MATCH(LOWER(TRIM(B23)),{"УРОВЕНЬ 100";"УРОВЕНЬ 95";"УРОВЕНЬ 90";"УРОВЕНЬ 80"},0),1674.8092,1561.468,1446.85,1077.44)*(1+(16*J75)/(2000+J75)+N80%)*(1-C82%)),0)</f>
        <v>11980</v>
      </c>
      <c r="E110" s="817" t="s">
        <v>14</v>
      </c>
      <c r="F110" s="1016" t="s">
        <v>14</v>
      </c>
      <c r="G110" s="816" t="s">
        <v>14</v>
      </c>
      <c r="H110" s="1018" t="s">
        <v>560</v>
      </c>
      <c r="I110" s="627" t="str">
        <f t="shared" si="17"/>
        <v>УЛЬТА</v>
      </c>
      <c r="J110" s="1034">
        <f t="array" ref="J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УДАР"},0),J84%,J85%,J86%,J87%,J88%,0))*(1-CHOOSE(MATCH(LOWER(TRIM(N110)),{"КРИО";"ПИРО";"ЭЛЕКТРО";"ГИДРО";"АНЕМО";"ГЕО";"ДЕНДРО";"ФИЗУХА"}, 0), C83,C80,C82,C81,E81,E82,E80,E83)%)*(D79),0)</f>
        <v>3258</v>
      </c>
      <c r="K110" s="1020">
        <f t="array" ref="K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УДАР"},0),J84%,J85%,J86%,J87%,J88%,0))*(1+J76%)*(1-CHOOSE(MATCH(LOWER(TRIM(N110)),{"КРИО";"ПИРО";"ЭЛЕКТРО";"ГИДРО";"АНЕМО";"ГЕО";"ДЕНДРО";"ФИЗУХА"}, 0), C83,C80,C82,C81,E81,E82,E80,E83)%)*(D79),0)</f>
        <v>9934</v>
      </c>
      <c r="L110" s="1020">
        <f t="array" ref="L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УДАР"},0),L84,L85,L81,L82,L83,0),0)+CHOOSE(MATCH(LOWER(TRIM(J31)),{"ПАР";"ОБ.ПАР";"ТАЯНИЕ";"ОБ.ТАЯНИЕ";"ОБОСТР.";"РАЗРАСТ.";"НЕТ"}, 0), 0,0,0,0,D102,D103,0))*(1+L87%+CHOOSE(MATCH(LOWER(TRIM(N110)),{"КРИО";"ПИРО";"ЭЛЕКТРО";"ГИДРО";"АНЕМО";"ГЕО";"ДЕНДРО";"ФИЗУХА"}, 0), L76,L73,L75,L74,L78,L77,L79,L80)%+CHOOSE(MATCH(LOWER(TRIM(S110)),{"ЕШКА";"УЛЬТА";"ОБ. УДАРЫ";"ЗАР. УДАРЫ";"ПРЫЖКИ";"УНИК. УДАР"},0),J84%,J85%,J86%,J87%,J88%,0))*(1+(J76%+CHOOSE(MATCH(LOWER(TRIM(S110)),{"ЕШКА";"УЛЬТА";"ОБ. УДАРЫ";"ЗАР. УДАРЫ";"ПРЫЖКИ";"УНИК. УДАР"},0),J91,J92,J89,J90,J93,0)%)*MIN((J77%+CHOOSE(MATCH(LOWER(TRIM(S110)),{"ЕШКА";"УЛЬТА";"ОБ. УДАРЫ";"ЗАР. УДАРЫ";"ПРЫЖКИ";"УНИК. УДАР"},0),L90,L91,L88,L89,L92,0)%),100%))*(1-CHOOSE(MATCH(LOWER(TRIM(N110)),{"КРИО";"ПИРО";"ЭЛЕКТРО";"ГИДРО";"АНЕМО";"ГЕО";"ДЕНДРО";"ФИЗУХА"}, 0), C83,C80,C82,C81,E81,E82,E80,E83)%)*(D79),0)</f>
        <v>9934</v>
      </c>
      <c r="M110" s="629" t="s">
        <v>125</v>
      </c>
      <c r="N110" s="1021" t="s">
        <v>1981</v>
      </c>
      <c r="P110" s="627" t="str">
        <f t="shared" si="18"/>
        <v>УЛЬТА</v>
      </c>
      <c r="Q110" s="1022">
        <f t="shared" si="19"/>
        <v>193.93</v>
      </c>
      <c r="R110" s="1023"/>
      <c r="S110" s="1024" t="s">
        <v>1902</v>
      </c>
      <c r="T110" s="1025" t="s">
        <v>2237</v>
      </c>
    </row>
    <row r="111" ht="19.5" customHeight="1">
      <c r="B111" s="1026" t="s">
        <v>2159</v>
      </c>
      <c r="C111" s="544"/>
      <c r="D111" s="1036">
        <f t="array" ref="D111">ROUND(1.8*(CHOOSE(MATCH(LOWER(TRIM(B23)),{"УРОВЕНЬ 100";"УРОВЕНЬ 95";"УРОВЕНЬ 90";"УРОВЕНЬ 80"},0),1674.8092,1561.468,1446.85,1077.44)*(1+MIN((K68+M68)*0.00007, 0.28))*(1+(6*J75)/(2000+J75)+N81%)*(1-C82%)),0)</f>
        <v>5157</v>
      </c>
      <c r="E111" s="628">
        <f t="array" ref="E111">ROUND(1.8*(CHOOSE(MATCH(LOWER(TRIM(B23)),{"УРОВЕНЬ 100";"УРОВЕНЬ 95";"УРОВЕНЬ 90";"УРОВЕНЬ 80"},0),1674.8092,1561.468,1446.85,1077.44)*(1+MIN((K68+M68)*0.00007, 0.28))*(1+(6*J75)/(2000+J75)+N81%)*(1-C82%)*(1+J76%)),0)</f>
        <v>15722</v>
      </c>
      <c r="F111" s="1044">
        <f t="array" ref="F111">ROUND(1.8*(CHOOSE(MATCH(LOWER(TRIM(B23)),{"УРОВЕНЬ 100";"УРОВЕНЬ 95";"УРОВЕНЬ 90";"УРОВЕНЬ 80"},0),1674.8092,1561.468,1446.85,1077.44)*(1+MIN((K68+M68)*0.00007, 0.28))*(1+(6*J75)/(2000+J75)+N81%)*(1-C82%)*(1+J76%*J77%)),0)</f>
        <v>16060</v>
      </c>
      <c r="G111" s="629" t="s">
        <v>14</v>
      </c>
      <c r="H111" s="1029" t="s">
        <v>560</v>
      </c>
      <c r="I111" s="627" t="str">
        <f t="shared" si="17"/>
        <v>УНИК. УДАР</v>
      </c>
      <c r="J111" s="1030">
        <f t="array" ref="J111">ROUND((CHOOSE(MATCH(LOWER(TRIM(M111)),{"СА";"СА+ХП";"СА+МС";"СА+ЗЩ";"ХП";"ЗЩ"}, 0), J74,J74,J74,J74,J78,J79)*Q111%+CHOOSE(MATCH(LOWER(TRIM(M111)),{"СА";"СА+ХП";"СА+МС";"СА+ЗЩ";"ХП";"ЗЩ"}, 0), 0,J78,J75,J79,0,0)*R111%+IF(L31=TRUE,L86+CHOOSE(MATCH(LOWER(TRIM(S111)),{"ЕШКА";"УЛЬТА";"ОБ.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УДАР"},0),J84%,J85%,J86%,J87%,J88%,0))*(1-CHOOSE(MATCH(LOWER(TRIM(N111)),{"КРИО";"ПИРО";"ЭЛЕКТРО";"ГИДРО";"АНЕМО";"ГЕО";"ДЕНДРО";"ФИЗУХА"}, 0), C83,C80,C82,C81,E81,E82,E80,E83)%)*(D79),0)</f>
        <v>0</v>
      </c>
      <c r="K111" s="1031">
        <f t="array" ref="K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УДАР"},0),J84%,J85%,J86%,J87%,J88%,0))*(1+J76%)*(1-CHOOSE(MATCH(LOWER(TRIM(N111)),{"КРИО";"ПИРО";"ЭЛЕКТРО";"ГИДРО";"АНЕМО";"ГЕО";"ДЕНДРО";"ФИЗУХА"}, 0), C83,C80,C82,C81,E81,E82,E80,E83)%)*(D79),0)</f>
        <v>0</v>
      </c>
      <c r="L111" s="1031">
        <f t="array" ref="L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УДАР"},0),L84,L85,L81,L82,L83,0),0)+CHOOSE(MATCH(LOWER(TRIM(J32)),{"ПАР";"ОБ.ПАР";"ТАЯНИЕ";"ОБ.ТАЯНИЕ";"ОБОСТР.";"РАЗРАСТ.";"НЕТ"}, 0), 0,0,0,0,D102,D103,0))*(1+L87%+CHOOSE(MATCH(LOWER(TRIM(N111)),{"КРИО";"ПИРО";"ЭЛЕКТРО";"ГИДРО";"АНЕМО";"ГЕО";"ДЕНДРО";"ФИЗУХА"}, 0), L76,L73,L75,L74,L78,L77,L79,L80)%+CHOOSE(MATCH(LOWER(TRIM(S111)),{"ЕШКА";"УЛЬТА";"ОБ. УДАРЫ";"ЗАР. УДАРЫ";"ПРЫЖКИ";"УНИК. УДАР"},0),J84%,J85%,J86%,J87%,J88%,0))*(1+(J76%+CHOOSE(MATCH(LOWER(TRIM(S111)),{"ЕШКА";"УЛЬТА";"ОБ. УДАРЫ";"ЗАР. УДАРЫ";"ПРЫЖКИ";"УНИК. УДАР"},0),J91,J92,J89,J90,J93,0)%)*MIN((J77%+CHOOSE(MATCH(LOWER(TRIM(S111)),{"ЕШКА";"УЛЬТА";"ОБ. УДАРЫ";"ЗАР. УДАРЫ";"ПРЫЖКИ";"УНИК. УДАР"},0),L90,L91,L88,L89,L92,0)%),100%))*(1-CHOOSE(MATCH(LOWER(TRIM(N111)),{"КРИО";"ПИРО";"ЭЛЕКТРО";"ГИДРО";"АНЕМО";"ГЕО";"ДЕНДРО";"ФИЗУХА"}, 0), C83,C80,C82,C81,E81,E82,E80,E83)%)*(D79),0)</f>
        <v>0</v>
      </c>
      <c r="M111" s="629" t="s">
        <v>125</v>
      </c>
      <c r="N111" s="1021" t="s">
        <v>1981</v>
      </c>
      <c r="P111" s="627" t="str">
        <f t="shared" si="18"/>
        <v>УНИК. УДАР</v>
      </c>
      <c r="Q111" s="1032"/>
      <c r="R111" s="1033"/>
      <c r="S111" s="1024" t="s">
        <v>2157</v>
      </c>
      <c r="T111" s="1025" t="s">
        <v>2143</v>
      </c>
    </row>
    <row r="112" ht="19.5" customHeight="1">
      <c r="B112" s="1014" t="s">
        <v>2160</v>
      </c>
      <c r="C112" s="544"/>
      <c r="D112" s="1042">
        <f t="array" ref="D112">ROUND((1.8*(CHOOSE(MATCH(LOWER(TRIM(B23)),{"УРОВЕНЬ 100";"УРОВЕНЬ 95";"УРОВЕНЬ 90";"УРОВЕНЬ 80"},0),1674.8092,1561.468,1446.85,1446.85,1077.44)*(1+MIN((K68+M68)*0.00007, 0.28))*(1+(6*J75)/(2000+J75)+N81%)*(1-C82%)))/2,0)</f>
        <v>2578</v>
      </c>
      <c r="E112" s="1042">
        <f t="array" ref="E112">ROUND((1.8*(CHOOSE(MATCH(LOWER(TRIM(B23)),{"УРОВЕНЬ 100";"УРОВЕНЬ 95";"УРОВЕНЬ 90";"УРОВЕНЬ 80"},0),1674.8092,1561.468,1446.85,1446.85,1077.44)*(1+MIN((K68+M68)*0.00007, 0.28))*(1+(6*J75)/(2000+J75)+N81%)*(1-C82%)*(1+J76%*J77%)))/2,0)</f>
        <v>8030</v>
      </c>
      <c r="F112" s="1042">
        <f t="array" ref="F112">ROUND((1.8*(CHOOSE(MATCH(LOWER(TRIM(B23)),{"УРОВЕНЬ 100";"УРОВЕНЬ 95";"УРОВЕНЬ 90";"УРОВЕНЬ 80"},0),1674.8092,1561.468,1446.85,1446.85,1077.44)*(1+MIN((K68+M68)*0.00007, 0.28))*(1+(6*J75)/(2000+J75)+N81%)*(1-C82%)*(1+J76%*J77%)))/2,0)</f>
        <v>8030</v>
      </c>
      <c r="G112" s="816" t="s">
        <v>14</v>
      </c>
      <c r="H112" s="1018" t="s">
        <v>560</v>
      </c>
      <c r="I112" s="627" t="str">
        <f t="shared" si="17"/>
        <v>УНИК. УДАР</v>
      </c>
      <c r="J112" s="1034">
        <f t="array" ref="J112">ROUND((CHOOSE(MATCH(LOWER(TRIM(M112)),{"СА";"СА+ХП";"СА+МС";"СА+ЗЩ";"ХП";"ЗЩ"}, 0), J74,J74,J74,J74,J78,J79)*Q112%+CHOOSE(MATCH(LOWER(TRIM(M112)),{"СА";"СА+ХП";"СА+МС";"СА+ЗЩ";"ХП";"ЗЩ"}, 0), 0,J78,J75,J79,0,0)*R112%+IF(L31=TRUE,L86+CHOOSE(MATCH(LOWER(TRIM(S112)),{"ЕШКА";"УЛЬТА";"ОБ. УДАРЫ";"ЗАР. УДАРЫ";"ПРЫЖКИ";"УНИК. УДАР"},0),L84,L85,L81,L82,L83,0),0))*(1+L87%+CHOOSE(MATCH(LOWER(TRIM(N112)),{"КРИО";"ПИРО";"ЭЛЕКТРО";"ГИДРО";"АНЕМО";"ГЕО";"ДЕНДРО";"ФИЗУХА"}, 0), L76,L73,L75,L74,L78,L77,L79,L80)%+CHOOSE(MATCH(LOWER(TRIM(S112)),{"ЕШКА";"УЛЬТА";"ОБ. УДАРЫ";"ЗАР. УДАРЫ";"ПРЫЖКИ";"УНИК. УДАР"},0),J84%,J85%,J86%,J87%,J88%,0))*(1-CHOOSE(MATCH(LOWER(TRIM(N112)),{"КРИО";"ПИРО";"ЭЛЕКТРО";"ГИДРО";"АНЕМО";"ГЕО";"ДЕНДРО";"ФИЗУХА"}, 0), C83,C80,C82,C81,E81,E82,E80,E83)%)*(D79),0)</f>
        <v>2520</v>
      </c>
      <c r="K112" s="1020">
        <f t="array" ref="K112">ROUND((CHOOSE(MATCH(LOWER(TRIM(M112)),{"СА";"СА+ХП";"СА+МС";"СА+ЗЩ";"ХП";"ЗЩ"}, 0), J74,J74,J74,J74,J78,J79)*Q112%+CHOOSE(MATCH(LOWER(TRIM(M112)),{"СА";"СА+ХП";"СА+МС";"СА+ЗЩ";"ХП";"ЗЩ"}, 0), 0,J78,J75,J79,0,0)*R112%+IF(L32=TRUE,L86+CHOOSE(MATCH(LOWER(TRIM(S112)),{"ЕШКА";"УЛЬТА";"ОБ. УДАРЫ";"ЗАР. УДАРЫ";"ПРЫЖКИ";"УНИК. УДАР"},0),L84,L85,L81,L82,L83,0),0))*(1+L87%+CHOOSE(MATCH(LOWER(TRIM(N112)),{"КРИО";"ПИРО";"ЭЛЕКТРО";"ГИДРО";"АНЕМО";"ГЕО";"ДЕНДРО";"ФИЗУХА"}, 0), L76,L73,L75,L74,L78,L77,L79,L80)%+CHOOSE(MATCH(LOWER(TRIM(S112)),{"ЕШКА";"УЛЬТА";"ОБ. УДАРЫ";"ЗАР. УДАРЫ";"ПРЫЖКИ";"УНИК. УДАР"},0),J84%,J85%,J86%,J87%,J88%,0))*(1+J76%)*(1-CHOOSE(MATCH(LOWER(TRIM(N112)),{"КРИО";"ПИРО";"ЭЛЕКТРО";"ГИДРО";"АНЕМО";"ГЕО";"ДЕНДРО";"ФИЗУХА"}, 0), C83,C80,C82,C81,E81,E82,E80,E83)%)*(D79),0)</f>
        <v>7683</v>
      </c>
      <c r="L112" s="1020">
        <f t="array" ref="L112">ROUND((CHOOSE(MATCH(LOWER(TRIM(M112)),{"СА";"СА+ХП";"СА+МС";"СА+ЗЩ";"ХП";"ЗЩ"}, 0), J74,J74,J74,J74,J78,J79)*Q112%+CHOOSE(MATCH(LOWER(TRIM(M112)),{"СА";"СА+ХП";"СА+МС";"СА+ЗЩ";"ХП";"ЗЩ"}, 0), 0,J78,J75,J79,0,0)*R112%+IF(L32=TRUE,L86+CHOOSE(MATCH(LOWER(TRIM(S112)),{"ЕШКА";"УЛЬТА";"ОБ. УДАРЫ";"ЗАР. УДАРЫ";"ПРЫЖКИ";"УНИК. УДАР"},0),L84,L85,L81,L82,L83,0),0)+CHOOSE(MATCH(LOWER(TRIM(J32)),{"ПАР";"ОБ.ПАР";"ТАЯНИЕ";"ОБ.ТАЯНИЕ";"ОБОСТР.";"РАЗРАСТ.";"НЕТ"}, 0), 0,0,0,0,D102,D103,0))*(1+L87%+CHOOSE(MATCH(LOWER(TRIM(N112)),{"КРИО";"ПИРО";"ЭЛЕКТРО";"ГИДРО";"АНЕМО";"ГЕО";"ДЕНДРО";"ФИЗУХА"}, 0), L76,L73,L75,L74,L78,L77,L79,L80)%+CHOOSE(MATCH(LOWER(TRIM(S112)),{"ЕШКА";"УЛЬТА";"ОБ. УДАРЫ";"ЗАР. УДАРЫ";"ПРЫЖКИ";"УНИК. УДАР"},0),J84%,J85%,J86%,J87%,J88%,0))*(1+(J76%+CHOOSE(MATCH(LOWER(TRIM(S112)),{"ЕШКА";"УЛЬТА";"ОБ. УДАРЫ";"ЗАР. УДАРЫ";"ПРЫЖКИ";"УНИК. УДАР"},0),J91,J92,J89,J90,J93,0)%)*MIN((J77%+CHOOSE(MATCH(LOWER(TRIM(S112)),{"ЕШКА";"УЛЬТА";"ОБ. УДАРЫ";"ЗАР. УДАРЫ";"ПРЫЖКИ";"УНИК. УДАР"},0),L90,L91,L88,L89,L92,0)%),100%))*(1-CHOOSE(MATCH(LOWER(TRIM(N112)),{"КРИО";"ПИРО";"ЭЛЕКТРО";"ГИДРО";"АНЕМО";"ГЕО";"ДЕНДРО";"ФИЗУХА"}, 0), C83,C80,C82,C81,E81,E82,E80,E83)%)*(D79),0)</f>
        <v>7683</v>
      </c>
      <c r="M112" s="629" t="s">
        <v>125</v>
      </c>
      <c r="N112" s="1021" t="s">
        <v>1981</v>
      </c>
      <c r="P112" s="627" t="str">
        <f t="shared" si="18"/>
        <v>УНИК. УДАР</v>
      </c>
      <c r="Q112" s="1022">
        <v>150.0</v>
      </c>
      <c r="R112" s="1023"/>
      <c r="S112" s="1024" t="s">
        <v>2157</v>
      </c>
      <c r="T112" s="1025" t="s">
        <v>2143</v>
      </c>
    </row>
    <row r="113" ht="19.5" customHeight="1">
      <c r="B113" s="1026" t="s">
        <v>2161</v>
      </c>
      <c r="C113" s="544"/>
      <c r="D113" s="628">
        <f t="array" ref="D113">ROUND((1.8*(CHOOSE(MATCH(LOWER(TRIM(B23)),{"УРОВЕНЬ 100";"УРОВЕНЬ 95";"УРОВЕНЬ 90";"УРОВЕНЬ 80"},0),1674.8092,1561.468,1446.85,1077.44)*(1+MIN((K68+M68)*0.00007, 0.28))*(1+(6*J75)/(2000+J75)+N81%)*(1-C82%)))/12,0)</f>
        <v>430</v>
      </c>
      <c r="E113" s="628">
        <f t="array" ref="E113">ROUND((1.8*(CHOOSE(MATCH(LOWER(TRIM(B23)),{"УРОВЕНЬ 100";"УРОВЕНЬ 95";"УРОВЕНЬ 90";"УРОВЕНЬ 80"},0),1674.8092,1561.468,1446.85,1077.44)*(1+MIN((K68+M68)*0.00007, 0.28))*(1+(6*J75)/(2000+J75)+N81%)*(1-C82%)*(1+J76%)))/12,0)</f>
        <v>1310</v>
      </c>
      <c r="F113" s="628">
        <f t="array" ref="F113">ROUND((1.8*(CHOOSE(MATCH(LOWER(TRIM(B23)),{"УРОВЕНЬ 100";"УРОВЕНЬ 95";"УРОВЕНЬ 90";"УРОВЕНЬ 80"},0),1674.8092,1561.468,1446.85,1077.44)*(1 + MIN((K68 + M68) * 0.00007, 0.28))*(1+(6*J75)/(2000+J75)+N81%)*(1-C82%)*(1+J76%*J77%)))/12,0)</f>
        <v>1338</v>
      </c>
      <c r="G113" s="629" t="s">
        <v>14</v>
      </c>
      <c r="H113" s="1029" t="s">
        <v>560</v>
      </c>
      <c r="I113" s="627" t="str">
        <f t="shared" si="17"/>
        <v>УНИК. УДАР</v>
      </c>
      <c r="J113" s="1030">
        <f t="array" ref="J113">ROUND((CHOOSE(MATCH(LOWER(TRIM(M113)),{"СА";"СА+ХП";"СА+МС";"СА+ЗЩ";"ХП";"ЗЩ"}, 0), J74,J74,J74,J74,J78,J79)*Q113%+CHOOSE(MATCH(LOWER(TRIM(M113)),{"СА";"СА+ХП";"СА+МС";"СА+ЗЩ";"ХП";"ЗЩ"}, 0), 0,J78,J75,J79,0,0)*R113%+IF(L31=TRUE,L86+CHOOSE(MATCH(LOWER(TRIM(S113)),{"ЕШКА";"УЛЬТА";"ОБ. УДАРЫ";"ЗАР. УДАРЫ";"ПРЫЖКИ";"УНИК. УДАР"},0),L84,L85,L81,L82,L83,0),0))*(1+L87%+CHOOSE(MATCH(LOWER(TRIM(N113)),{"КРИО";"ПИРО";"ЭЛЕКТРО";"ГИДРО";"АНЕМО";"ГЕО";"ДЕНДРО";"ФИЗУХА"}, 0), L76,L73,L75,L74,L78,L77,L79,L80)%+CHOOSE(MATCH(LOWER(TRIM(S113)),{"ЕШКА";"УЛЬТА";"ОБ. УДАРЫ";"ЗАР. УДАРЫ";"ПРЫЖКИ";"УНИК. УДАР"},0),J84%,J85%,J86%,J87%,J88%,0))*(1-CHOOSE(MATCH(LOWER(TRIM(N113)),{"КРИО";"ПИРО";"ЭЛЕКТРО";"ГИДРО";"АНЕМО";"ГЕО";"ДЕНДРО";"ФИЗУХА"}, 0), C83,C80,C82,C81,E81,E82,E80,E83)%)*(D79),0)</f>
        <v>0</v>
      </c>
      <c r="K113" s="1031">
        <f t="array" ref="K113">ROUND((CHOOSE(MATCH(LOWER(TRIM(M113)),{"СА";"СА+ХП";"СА+МС";"СА+ЗЩ";"ХП";"ЗЩ"}, 0), J74,J74,J74,J74,J78,J79)*Q113%+CHOOSE(MATCH(LOWER(TRIM(M113)),{"СА";"СА+ХП";"СА+МС";"СА+ЗЩ";"ХП";"ЗЩ"}, 0), 0,J78,J75,J79,0,0)*R113%+IF(L32=TRUE,L86+CHOOSE(MATCH(LOWER(TRIM(S113)),{"ЕШКА";"УЛЬТА";"ОБ. УДАРЫ";"ЗАР. УДАРЫ";"ПРЫЖКИ";"УНИК. УДАР"},0),L84,L85,L81,L82,L83,0),0))*(1+L87%+CHOOSE(MATCH(LOWER(TRIM(N113)),{"КРИО";"ПИРО";"ЭЛЕКТРО";"ГИДРО";"АНЕМО";"ГЕО";"ДЕНДРО";"ФИЗУХА"}, 0), L76,L73,L75,L74,L78,L77,L79,L80)%+CHOOSE(MATCH(LOWER(TRIM(S113)),{"ЕШКА";"УЛЬТА";"ОБ. УДАРЫ";"ЗАР. УДАРЫ";"ПРЫЖКИ";"УНИК. УДАР"},0),J84%,J85%,J86%,J87%,J88%,0))*(1+J76%)*(1-CHOOSE(MATCH(LOWER(TRIM(N113)),{"КРИО";"ПИРО";"ЭЛЕКТРО";"ГИДРО";"АНЕМО";"ГЕО";"ДЕНДРО";"ФИЗУХА"}, 0), C83,C80,C82,C81,E81,E82,E80,E83)%)*(D79),0)</f>
        <v>0</v>
      </c>
      <c r="L113" s="1031">
        <f t="array" ref="L113">ROUND((CHOOSE(MATCH(LOWER(TRIM(M113)),{"СА";"СА+ХП";"СА+МС";"СА+ЗЩ";"ХП";"ЗЩ"}, 0), J74,J74,J74,J74,J78,J79)*Q113%+CHOOSE(MATCH(LOWER(TRIM(M113)),{"СА";"СА+ХП";"СА+МС";"СА+ЗЩ";"ХП";"ЗЩ"}, 0), 0,J78,J75,J79,0,0)*R113%+IF(L32=TRUE,L86+CHOOSE(MATCH(LOWER(TRIM(S113)),{"ЕШКА";"УЛЬТА";"ОБ. УДАРЫ";"ЗАР. УДАРЫ";"ПРЫЖКИ";"УНИК. УДАР"},0),L84,L85,L81,L82,L83,0),0)+CHOOSE(MATCH(LOWER(TRIM(J32)),{"ПАР";"ОБ.ПАР";"ТАЯНИЕ";"ОБ.ТАЯНИЕ";"ОБОСТР.";"РАЗРАСТ.";"НЕТ"}, 0), 0,0,0,0,D102,D103,0))*(1+L87%+CHOOSE(MATCH(LOWER(TRIM(N113)),{"КРИО";"ПИРО";"ЭЛЕКТРО";"ГИДРО";"АНЕМО";"ГЕО";"ДЕНДРО";"ФИЗУХА"}, 0), L76,L73,L75,L74,L78,L77,L79,L80)%+CHOOSE(MATCH(LOWER(TRIM(S113)),{"ЕШКА";"УЛЬТА";"ОБ. УДАРЫ";"ЗАР. УДАРЫ";"ПРЫЖКИ";"УНИК. УДАР"},0),J84%,J85%,J86%,J87%,J88%,0))*(1+(J76%+CHOOSE(MATCH(LOWER(TRIM(S113)),{"ЕШКА";"УЛЬТА";"ОБ. УДАРЫ";"ЗАР. УДАРЫ";"ПРЫЖКИ";"УНИК. УДАР"},0),J91,J92,J89,J90,J93,0)%)*MIN((J77%+CHOOSE(MATCH(LOWER(TRIM(S113)),{"ЕШКА";"УЛЬТА";"ОБ. УДАРЫ";"ЗАР. УДАРЫ";"ПРЫЖКИ";"УНИК. УДАР"},0),L90,L91,L88,L89,L92,0)%),100%))*(1-CHOOSE(MATCH(LOWER(TRIM(N113)),{"КРИО";"ПИРО";"ЭЛЕКТРО";"ГИДРО";"АНЕМО";"ГЕО";"ДЕНДРО";"ФИЗУХА"}, 0), C83,C80,C82,C81,E81,E82,E80,E83)%)*(D79),0)</f>
        <v>0</v>
      </c>
      <c r="M113" s="629" t="s">
        <v>125</v>
      </c>
      <c r="N113" s="1021" t="s">
        <v>1981</v>
      </c>
      <c r="P113" s="627" t="str">
        <f t="shared" si="18"/>
        <v>УНИК. УДАР</v>
      </c>
      <c r="Q113" s="1032"/>
      <c r="R113" s="1033"/>
      <c r="S113" s="1024" t="s">
        <v>2157</v>
      </c>
      <c r="T113" s="1025" t="s">
        <v>2143</v>
      </c>
    </row>
    <row r="114" ht="19.5" customHeight="1">
      <c r="B114" s="1014" t="s">
        <v>2036</v>
      </c>
      <c r="C114" s="544"/>
      <c r="D114" s="1035">
        <f t="array" ref="D114">ROUND(2.75*(CHOOSE(MATCH(LOWER(TRIM(B23)),{"УРОВЕНЬ 100";"УРОВЕНЬ 95";"УРОВЕНЬ 90";"УРОВЕНЬ 80"},0),1674.8092,1561.468,1446.85,1077.44)*(1+(16*J75)/(2000+J75)+N82%)*(1-C80%)),0)</f>
        <v>16472</v>
      </c>
      <c r="E114" s="817" t="s">
        <v>14</v>
      </c>
      <c r="F114" s="1016" t="s">
        <v>14</v>
      </c>
      <c r="G114" s="816" t="s">
        <v>14</v>
      </c>
      <c r="H114" s="1018" t="s">
        <v>559</v>
      </c>
      <c r="I114" s="627" t="str">
        <f t="shared" si="17"/>
        <v>УНИК. УДАР</v>
      </c>
      <c r="J114" s="1045">
        <f t="array" ref="J114">ROUND((CHOOSE(MATCH(LOWER(TRIM(M114)),{"СА";"СА+ХП";"СА+МС";"СА+ЗЩ";"ХП";"ЗЩ"}, 0), J74,J74,J74,J74,J78,J79)*Q114%+CHOOSE(MATCH(LOWER(TRIM(M114)),{"СА";"СА+ХП";"СА+МС";"СА+ЗЩ";"ХП";"ЗЩ"}, 0), 0,J78,J75,J79,0,0)*R114%+IF(L31=TRUE,L86+CHOOSE(MATCH(LOWER(TRIM(S114)),{"ЕШКА";"УЛЬТА";"ОБ. УДАРЫ";"ЗАР. УДАРЫ";"ПРЫЖКИ";"УНИК. УДАР"},0),L84,L85,L81,L82,L83,0),0))*(1+L87%+CHOOSE(MATCH(LOWER(TRIM(N114)),{"КРИО";"ПИРО";"ЭЛЕКТРО";"ГИДРО";"АНЕМО";"ГЕО";"ДЕНДРО";"ФИЗУХА"}, 0), L76,L73,L75,L74,L78,L77,L79,L80)%+CHOOSE(MATCH(LOWER(TRIM(S114)),{"ЕШКА";"УЛЬТА";"ОБ. УДАРЫ";"ЗАР. УДАРЫ";"ПРЫЖКИ";"УНИК. УДАР"},0),J84%,J85%,J86%,J87%,J88%,0))*(1-CHOOSE(MATCH(LOWER(TRIM(N114)),{"КРИО";"ПИРО";"ЭЛЕКТРО";"ГИДРО";"АНЕМО";"ГЕО";"ДЕНДРО";"ФИЗУХА"}, 0), C83,C80,C82,C81,E81,E82,E80,E83)%)*(D79),0)</f>
        <v>1680</v>
      </c>
      <c r="K114" s="1020">
        <f t="array" ref="K114">ROUND((CHOOSE(MATCH(LOWER(TRIM(M114)),{"СА";"СА+ХП";"СА+МС";"СА+ЗЩ";"ХП";"ЗЩ"}, 0), J74,J74,J74,J74,J78,J79)*Q114%+CHOOSE(MATCH(LOWER(TRIM(M114)),{"СА";"СА+ХП";"СА+МС";"СА+ЗЩ";"ХП";"ЗЩ"}, 0), 0,J78,J75,J79,0,0)*R114%+IF(L32=TRUE,L86+CHOOSE(MATCH(LOWER(TRIM(S114)),{"ЕШКА";"УЛЬТА";"ОБ. УДАРЫ";"ЗАР. УДАРЫ";"ПРЫЖКИ";"УНИК. УДАР"},0),L84,L85,L81,L82,L83,0),0))*(1+L87%+CHOOSE(MATCH(LOWER(TRIM(N114)),{"КРИО";"ПИРО";"ЭЛЕКТРО";"ГИДРО";"АНЕМО";"ГЕО";"ДЕНДРО";"ФИЗУХА"}, 0), L76,L73,L75,L74,L78,L77,L79,L80)%+CHOOSE(MATCH(LOWER(TRIM(S114)),{"ЕШКА";"УЛЬТА";"ОБ. УДАРЫ";"ЗАР. УДАРЫ";"ПРЫЖКИ";"УНИК. УДАР"},0),J84%,J85%,J86%,J87%,J88%,0))*(1+J76%)*(1-CHOOSE(MATCH(LOWER(TRIM(N114)),{"КРИО";"ПИРО";"ЭЛЕКТРО";"ГИДРО";"АНЕМО";"ГЕО";"ДЕНДРО";"ФИЗУХА"}, 0), C83,C80,C82,C81,E81,E82,E80,E83)%)*(D79),0)</f>
        <v>5122</v>
      </c>
      <c r="L114" s="1020">
        <f t="array" ref="L114">ROUND((CHOOSE(MATCH(LOWER(TRIM(M114)),{"СА";"СА+ХП";"СА+МС";"СА+ЗЩ";"ХП";"ЗЩ"}, 0), J74,J74,J74,J74,J78,J79)*Q114%+CHOOSE(MATCH(LOWER(TRIM(M114)),{"СА";"СА+ХП";"СА+МС";"СА+ЗЩ";"ХП";"ЗЩ"}, 0), 0,J78,J75,J79,0,0)*R114%+IF(L32=TRUE,L86+CHOOSE(MATCH(LOWER(TRIM(S114)),{"ЕШКА";"УЛЬТА";"ОБ. УДАРЫ";"ЗАР. УДАРЫ";"ПРЫЖКИ";"УНИК. УДАР"},0),L84,L85,L81,L82,L83,0),0)+CHOOSE(MATCH(LOWER(TRIM(J32)),{"ПАР";"ОБ.ПАР";"ТАЯНИЕ";"ОБ.ТАЯНИЕ";"ОБОСТР.";"РАЗРАСТ.";"НЕТ"}, 0), 0,0,0,0,D102,D103,0))*(1+L87%+CHOOSE(MATCH(LOWER(TRIM(N114)),{"КРИО";"ПИРО";"ЭЛЕКТРО";"ГИДРО";"АНЕМО";"ГЕО";"ДЕНДРО";"ФИЗУХА"}, 0), L76,L73,L75,L74,L78,L77,L79,L80)%+CHOOSE(MATCH(LOWER(TRIM(S114)),{"ЕШКА";"УЛЬТА";"ОБ. УДАРЫ";"ЗАР. УДАРЫ";"ПРЫЖКИ";"УНИК. УДАР"},0),J84%,J85%,J86%,J87%,J88%,0))*(1+(J76%+CHOOSE(MATCH(LOWER(TRIM(S114)),{"ЕШКА";"УЛЬТА";"ОБ. УДАРЫ";"ЗАР. УДАРЫ";"ПРЫЖКИ";"УНИК. УДАР"},0),J91,J92,J89,J90,J93,0)%)*MIN((J77%+CHOOSE(MATCH(LOWER(TRIM(S114)),{"ЕШКА";"УЛЬТА";"ОБ. УДАРЫ";"ЗАР. УДАРЫ";"ПРЫЖКИ";"УНИК. УДАР"},0),L90,L91,L88,L89,L92,0)%),100%))*(1-CHOOSE(MATCH(LOWER(TRIM(N114)),{"КРИО";"ПИРО";"ЭЛЕКТРО";"ГИДРО";"АНЕМО";"ГЕО";"ДЕНДРО";"ФИЗУХА"}, 0), C83,C80,C82,C81,E81,E82,E80,E83)%)*(D79),0)</f>
        <v>5122</v>
      </c>
      <c r="M114" s="629" t="s">
        <v>125</v>
      </c>
      <c r="N114" s="1021" t="s">
        <v>1981</v>
      </c>
      <c r="P114" s="627" t="str">
        <f t="shared" si="18"/>
        <v>УНИК. УДАР</v>
      </c>
      <c r="Q114" s="1022">
        <v>100.0</v>
      </c>
      <c r="R114" s="1023"/>
      <c r="S114" s="1024" t="s">
        <v>2157</v>
      </c>
      <c r="T114" s="1025" t="s">
        <v>2143</v>
      </c>
    </row>
    <row r="115" ht="19.5" customHeight="1">
      <c r="B115" s="1026" t="s">
        <v>2038</v>
      </c>
      <c r="C115" s="544"/>
      <c r="D115" s="1036">
        <f t="array" ref="D115">ROUND((0.25*(CHOOSE(MATCH(LOWER(TRIM(B23)),{"УРОВЕНЬ 100";"УРОВЕНЬ 95";"УРОВЕНЬ 90";"УРОВЕНЬ 80"},0),1674.8092,1561.468,1446.85,1077.44)*(1+(16*J75)/(2000+J75)+N83%)*(1-C80%))),0)</f>
        <v>1367</v>
      </c>
      <c r="E115" s="630" t="s">
        <v>14</v>
      </c>
      <c r="F115" s="573" t="s">
        <v>14</v>
      </c>
      <c r="G115" s="629" t="s">
        <v>14</v>
      </c>
      <c r="H115" s="1029" t="s">
        <v>559</v>
      </c>
      <c r="I115" s="627" t="str">
        <f t="shared" si="17"/>
        <v>УНИК. УДАР</v>
      </c>
      <c r="J115" s="1030">
        <f t="array" ref="J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*(1-CHOOSE(MATCH(LOWER(TRIM(N115)),{"КРИО";"ПИРО";"ЭЛЕКТРО";"ГИДРО";"АНЕМО";"ГЕО";"ДЕНДРО";"ФИЗУХА"}, 0), C83,C80,C82,C81,E81,E82,E80,E83)%)*(D79),0)</f>
        <v>0</v>
      </c>
      <c r="K115" s="1031">
        <f t="array" ref="K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*(1+J76%)*(1-CHOOSE(MATCH(LOWER(TRIM(N115)),{"КРИО";"ПИРО";"ЭЛЕКТРО";"ГИДРО";"АНЕМО";"ГЕО";"ДЕНДРО";"ФИЗУХА"}, 0), C83,C80,C82,C81,E81,E82,E80,E83)%)*(D79),0)</f>
        <v>0</v>
      </c>
      <c r="L115" s="1031">
        <f t="array" ref="L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CHOOSE(MATCH(LOWER(TRIM(J36)),{"ПАР";"ОБ.ПАР";"ТАЯНИЕ";"ОБ.ТАЯНИЕ";"ОБОСТР.";"РАЗРАСТ.";"НЕТ"}, 0), 0,0,0,0,D102,D103,0))
*(1+L87%+CHOOSE(MATCH(LOWER(TRIM(N115)),{"КРИО";"ПИРО";"ЭЛЕКТРО";"ГИДРО";"АНЕМО";"ГЕО";"ДЕНДРО";"ФИЗУХА"}, 0), L76,L73,L75,L74,L78,L77,L79,L80)%+CHOOSE(MATCH(LOWER(TRIM(S115)),{"ЕШКА";"УЛЬТА";"ОБ. УДАРЫ";"ЗАР. УДАРЫ";"ПРЫЖКИ";"УНИК. УДАР"},0),J84%,J85%,J86%,J87%,J88%,0))
*(1+(J76%+CHOOSE(MATCH(LOWER(TRIM(S115)),{"ЕШКА";"УЛЬТА";"ОБ. УДАРЫ";"ЗАР. УДАРЫ";"ПРЫЖКИ";"УНИК. УДАР"},0),J91,J92,J89,J90,J93,0)%)*MIN((J77%+CHOOSE(MATCH(LOWER(TRIM(S115)),{"ЕШКА";"УЛЬТА";"ОБ. УДАРЫ";"ЗАР. УДАРЫ";"ПРЫЖКИ";"УНИК. УДАР"},0),L90,L91,L88,L89,L92,0)%),100%))*(1-CHOOSE(MATCH(LOWER(TRIM(N115)),{"КРИО";"ПИРО";"ЭЛЕКТРО";"ГИДРО";"АНЕМО";"ГЕО";"ДЕНДРО";"ФИЗУХА"}, 0), C83,C80,C82,C81,E81,E82,E80,E83)%)*(D79),0)</f>
        <v>0</v>
      </c>
      <c r="M115" s="629" t="s">
        <v>125</v>
      </c>
      <c r="N115" s="1021" t="s">
        <v>1981</v>
      </c>
      <c r="P115" s="627" t="str">
        <f t="shared" si="18"/>
        <v>УНИК. УДАР</v>
      </c>
      <c r="Q115" s="1032"/>
      <c r="R115" s="1033"/>
      <c r="S115" s="1024" t="s">
        <v>2157</v>
      </c>
      <c r="T115" s="1025" t="s">
        <v>2143</v>
      </c>
    </row>
    <row r="116" ht="19.5" customHeight="1">
      <c r="B116" s="1026" t="s">
        <v>2162</v>
      </c>
      <c r="C116" s="544"/>
      <c r="D116" s="1035">
        <f t="array" ref="D116">ROUND(0.6*(CHOOSE(MATCH(LOWER(TRIM(B23)),{"УРОВЕНЬ 100";"УРОВЕНЬ 95";"УРОВЕНЬ 90";"УРОВЕНЬ 80"},0),1674.8092,1561.468,1446.85,1077.44)*(1+(16*J75)/(2000+J75)+N84%)*(1-CHOOSE(MATCH(LOWER(TRIM(H116)),{"🔥ПИРО";"💧ГИДРО";"⚡️ЭЛЕКТРО";"❄️КРИО"},0),C80%,C81%,C82%,C83%))),0)</f>
        <v>3281</v>
      </c>
      <c r="E116" s="1042">
        <f t="array" ref="E116">ROUND(0.6*(CHOOSE(MATCH(LOWER(TRIM(B23)),{"УРОВЕНЬ 100";"УРОВЕНЬ 95";"УРОВЕНЬ 90";"УРОВЕНЬ 80"},0),1674.8092,1561.468,1446.85,1077.44)*(1+(16*J75)/(2000+J75)+N84%)*(1-CHOOSE(MATCH(LOWER(TRIM(H116)),{"🔥ПИРО";"💧ГИДРО";"⚡️ЭЛЕКТРО";"❄️КРИО"},0),C80%,C81%,C82%,C83%)))*CHOOSE(MATCH(LOWER(TRIM(B116)),{"РАССЕИВАНИЕ 1";"РАССЕИВ. + С6"},0), 1,2),0)</f>
        <v>3281</v>
      </c>
      <c r="F116" s="1043">
        <f t="array" ref="F116">ROUND(0.6*(CHOOSE(MATCH(LOWER(TRIM(B23)),{"УРОВЕНЬ 100";"УРОВЕНЬ 95";"УРОВЕНЬ 90";"УРОВЕНЬ 80"},0),1674.8092,1561.468,1446.85,,1077.44)*(1+(16*J75)/(2000+J75)+N84%)*(1-CHOOSE(MATCH(LOWER(TRIM(H116)),{"🔥ПИРО";"💧ГИДРО";"⚡️ЭЛЕКТРО";"❄️КРИО"},0),C80%,C81%,C82%,C83%)))*CHOOSE(MATCH(LOWER(TRIM(B116)),{"РАССЕИВАНИЕ 1";"РАССЕИВ. + С6"},0), 1,1.3),0)</f>
        <v>3281</v>
      </c>
      <c r="G116" s="816" t="s">
        <v>14</v>
      </c>
      <c r="H116" s="1029" t="s">
        <v>2163</v>
      </c>
      <c r="I116" s="627" t="str">
        <f t="shared" si="17"/>
        <v>УНИК. УДАР</v>
      </c>
      <c r="J116" s="1034">
        <f t="array" ref="J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*(1-CHOOSE(MATCH(LOWER(TRIM(N116)),{"КРИО";"ПИРО";"ЭЛЕКТРО";"ГИДРО";"АНЕМО";"ГЕО";"ДЕНДРО";"ФИЗУХА"}, 0), C83,C80,C82,C81,E81,E82,E80,E83)%)*(D79),0)</f>
        <v>0</v>
      </c>
      <c r="K116" s="1020">
        <f t="array" ref="K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*(1+J76%)*(1-CHOOSE(MATCH(LOWER(TRIM(N116)),{"КРИО";"ПИРО";"ЭЛЕКТРО";"ГИДРО";"АНЕМО";"ГЕО";"ДЕНДРО";"ФИЗУХА"}, 0), C83,C80,C82,C81,E81,E82,E80,E83)%)*(D79),0)</f>
        <v>0</v>
      </c>
      <c r="L116" s="1020">
        <f t="array" ref="L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CHOOSE(MATCH(LOWER(TRIM(J37)),{"ПАР";"ОБ.ПАР";"ТАЯНИЕ";"ОБ.ТАЯНИЕ";"ОБОСТР.";"РАЗРАСТ.";"НЕТ"}, 0), 0,0,0,0,D102,D103,0))
*(1+L87%+CHOOSE(MATCH(LOWER(TRIM(N116)),{"КРИО";"ПИРО";"ЭЛЕКТРО";"ГИДРО";"АНЕМО";"ГЕО";"ДЕНДРО";"ФИЗУХА"}, 0), L76,L73,L75,L74,L78,L77,L79,L80)%+CHOOSE(MATCH(LOWER(TRIM(S116)),{"ЕШКА";"УЛЬТА";"ОБ. УДАРЫ";"ЗАР. УДАРЫ";"ПРЫЖКИ";"УНИК. УДАР"},0),J84%,J85%,J86%,J87%,J88%,0))
*(1+(J76%+CHOOSE(MATCH(LOWER(TRIM(S116)),{"ЕШКА";"УЛЬТА";"ОБ. УДАРЫ";"ЗАР. УДАРЫ";"ПРЫЖКИ";"УНИК. УДАР"},0),J91,J92,J89,J90,J93,0)%)*MIN((J77%+CHOOSE(MATCH(LOWER(TRIM(S116)),{"ЕШКА";"УЛЬТА";"ОБ. УДАРЫ";"ЗАР. УДАРЫ";"ПРЫЖКИ";"УНИК. УДАР"},0),L90,L91,L88,L89,L92,0)%),100%))*(1-CHOOSE(MATCH(LOWER(TRIM(N116)),{"КРИО";"ПИРО";"ЭЛЕКТРО";"ГИДРО";"АНЕМО";"ГЕО";"ДЕНДРО";"ФИЗУХА"}, 0), C83,C80,C82,C81,E81,E82,E80,E83)%)*(D79),0)</f>
        <v>0</v>
      </c>
      <c r="M116" s="629" t="s">
        <v>125</v>
      </c>
      <c r="N116" s="1021" t="s">
        <v>1981</v>
      </c>
      <c r="P116" s="627" t="str">
        <f t="shared" si="18"/>
        <v>УНИК. УДАР</v>
      </c>
      <c r="Q116" s="1022"/>
      <c r="R116" s="1023"/>
      <c r="S116" s="1024" t="s">
        <v>2157</v>
      </c>
      <c r="T116" s="1025" t="s">
        <v>2143</v>
      </c>
    </row>
    <row r="117" ht="19.5" customHeight="1">
      <c r="B117" s="1026" t="s">
        <v>2164</v>
      </c>
      <c r="C117" s="544"/>
      <c r="D117" s="1036">
        <f t="array" ref="D117">ROUND(0.6*(CHOOSE(MATCH(LOWER(TRIM(B23)),{"УРОВЕНЬ 100";"УРОВЕНЬ 95";"УРОВЕНЬ 90";"УРОВЕНЬ 80"},0),1674.8092,1561.468,1446.85,1077.44)*(1+(16*J75)/(2000+J75)+N84%)*(1-CHOOSE(MATCH(LOWER(TRIM(H117)),{"🔥ПИРО";"💧ГИДРО";"⚡️ЭЛЕКТРО";"❄️КРИО"},0),C80%,C81%,C82%,C83%))),0)</f>
        <v>3281</v>
      </c>
      <c r="E117" s="628">
        <f t="array" ref="E117">ROUND(0.6*(CHOOSE(MATCH(LOWER(TRIM(B23)),{"УРОВЕНЬ 100";"УРОВЕНЬ 95";"УРОВЕНЬ 90";"УРОВЕНЬ 80"},0),1674.8092,1561.468,1446.85,1077.44)*(1+(16*J75)/(2000+J75)+N84%)*(1-CHOOSE(MATCH(LOWER(TRIM(H117)),{"🔥ПИРО";"💧ГИДРО";"⚡️ЭЛЕКТРО";"❄️КРИО"},0),C80%,C81%,C82%,C83%)))*CHOOSE(MATCH(LOWER(TRIM(B117)),{"РАССЕИВАНИЕ 2";"РАССЕИВ. + С6"},0),1,2),0)</f>
        <v>3281</v>
      </c>
      <c r="F117" s="1044">
        <f t="array" ref="F117">ROUND(0.6*(CHOOSE(MATCH(LOWER(TRIM(B23)),{"УРОВЕНЬ 100";"УРОВЕНЬ 95";"УРОВЕНЬ 90";"УРОВЕНЬ 80"},0),1674.8092,1561.468,1446.85,1077.44)*(1+(16*J75)/(2000+J75)+N84%)*(1-CHOOSE(MATCH(LOWER(TRIM(H117)),{"🔥ПИРО";"💧ГИДРО";"⚡️ЭЛЕКТРО";"❄️КРИО"},0),C80%,C81%,C82%,C83%)))*CHOOSE(MATCH(LOWER(TRIM(B117)),{"РАССЕИВАНИЕ 2";"РАССЕИВ. + С6"},0),1,1.3),0)</f>
        <v>3281</v>
      </c>
      <c r="G117" s="629" t="s">
        <v>14</v>
      </c>
      <c r="H117" s="1029" t="s">
        <v>2165</v>
      </c>
      <c r="I117" s="627" t="str">
        <f t="shared" si="17"/>
        <v>УНИК. УДАР</v>
      </c>
      <c r="J117" s="1030">
        <f t="array" ref="J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*(1-CHOOSE(MATCH(LOWER(TRIM(N117)),{"КРИО";"ПИРО";"ЭЛЕКТРО";"ГИДРО";"АНЕМО";"ГЕО";"ДЕНДРО";"ФИЗУХА"}, 0), C83,C80,C82,C81,E81,E82,E80,E83)%)*(D79),0)</f>
        <v>0</v>
      </c>
      <c r="K117" s="1031">
        <f t="array" ref="K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*(1+J76%)*(1-CHOOSE(MATCH(LOWER(TRIM(N117)),{"КРИО";"ПИРО";"ЭЛЕКТРО";"ГИДРО";"АНЕМО";"ГЕО";"ДЕНДРО";"ФИЗУХА"}, 0), C83,C80,C82,C81,E81,E82,E80,E83)%)*(D79),0)</f>
        <v>0</v>
      </c>
      <c r="L117" s="1031">
        <f t="array" ref="L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CHOOSE(MATCH(LOWER(TRIM(J38)),{"ПАР";"ОБ.ПАР";"ТАЯНИЕ";"ОБ.ТАЯНИЕ";"ОБОСТР.";"РАЗРАСТ.";"НЕТ"}, 0), 0,0,0,0,D102,D103,0))
*(1+L87%+CHOOSE(MATCH(LOWER(TRIM(N117)),{"КРИО";"ПИРО";"ЭЛЕКТРО";"ГИДРО";"АНЕМО";"ГЕО";"ДЕНДРО";"ФИЗУХА"}, 0), L76,L73,L75,L74,L78,L77,L79,L80)%+CHOOSE(MATCH(LOWER(TRIM(S117)),{"ЕШКА";"УЛЬТА";"ОБ. УДАРЫ";"ЗАР. УДАРЫ";"ПРЫЖКИ";"УНИК. УДАР"},0),J84%,J85%,J86%,J87%,J88%,0))
*(1+(J76%+CHOOSE(MATCH(LOWER(TRIM(S117)),{"ЕШКА";"УЛЬТА";"ОБ. УДАРЫ";"ЗАР. УДАРЫ";"ПРЫЖКИ";"УНИК. УДАР"},0),J91,J92,J89,J90,J93,0)%)*MIN((J77%+CHOOSE(MATCH(LOWER(TRIM(S117)),{"ЕШКА";"УЛЬТА";"ОБ. УДАРЫ";"ЗАР. УДАРЫ";"ПРЫЖКИ";"УНИК. УДАР"},0),L90,L91,L88,L89,L92,0)%),100%))*(1-CHOOSE(MATCH(LOWER(TRIM(N117)),{"КРИО";"ПИРО";"ЭЛЕКТРО";"ГИДРО";"АНЕМО";"ГЕО";"ДЕНДРО";"ФИЗУХА"}, 0), C83,C80,C82,C81,E81,E82,E80,E83)%)*(D79),0)</f>
        <v>0</v>
      </c>
      <c r="M117" s="629" t="s">
        <v>125</v>
      </c>
      <c r="N117" s="1021" t="s">
        <v>1981</v>
      </c>
      <c r="P117" s="627" t="str">
        <f t="shared" si="18"/>
        <v>УНИК. УДАР</v>
      </c>
      <c r="Q117" s="1032"/>
      <c r="R117" s="1033"/>
      <c r="S117" s="1024" t="s">
        <v>2157</v>
      </c>
      <c r="T117" s="1025" t="s">
        <v>2143</v>
      </c>
    </row>
    <row r="118" ht="19.5" customHeight="1">
      <c r="B118" s="1014" t="s">
        <v>2046</v>
      </c>
      <c r="C118" s="544"/>
      <c r="D118" s="1035">
        <f t="array" ref="D118">ROUND(3*(CHOOSE(MATCH(LOWER(TRIM(B23)),{"УРОВЕНЬ 100";"УРОВЕНЬ 95";"УРОВЕНЬ 90";"УРОВЕНЬ 80"},0),1674.8092,1561.468,1446.85,1077.44)*(1+(16*J75)/(2000+J75)+N85%)*(1-E83%)),0)</f>
        <v>16407</v>
      </c>
      <c r="E118" s="817" t="s">
        <v>14</v>
      </c>
      <c r="F118" s="1016" t="s">
        <v>14</v>
      </c>
      <c r="G118" s="816" t="s">
        <v>14</v>
      </c>
      <c r="H118" s="1018" t="s">
        <v>2166</v>
      </c>
      <c r="I118" s="627" t="str">
        <f t="shared" si="17"/>
        <v>УНИК. УДАР</v>
      </c>
      <c r="J118" s="1034">
        <f t="array" ref="J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*(1-CHOOSE(MATCH(LOWER(TRIM(N118)),{"КРИО";"ПИРО";"ЭЛЕКТРО";"ГИДРО";"АНЕМО";"ГЕО";"ДЕНДРО";"ФИЗУХА"}, 0), C83,C80,C82,C81,E81,E82,E80,E83)%)*(D79),0)</f>
        <v>0</v>
      </c>
      <c r="K118" s="1020">
        <f t="array" ref="K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*(1+J76%)*(1-CHOOSE(MATCH(LOWER(TRIM(N118)),{"КРИО";"ПИРО";"ЭЛЕКТРО";"ГИДРО";"АНЕМО";"ГЕО";"ДЕНДРО";"ФИЗУХА"}, 0), C83,C80,C82,C81,E81,E82,E80,E83)%)*(D79),0)</f>
        <v>0</v>
      </c>
      <c r="L118" s="1020">
        <f t="array" ref="L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+CHOOSE(MATCH(LOWER(TRIM(J39)),{"ПАР";"ОБ.ПАР";"ТАЯНИЕ";"ОБ.ТАЯНИЕ";"ОБОСТР.";"РАЗРАСТ.";"НЕТ"}, 0), 0,0,0,0,D102,D103,0))
*(1+L87%+CHOOSE(MATCH(LOWER(TRIM(N118)),{"КРИО";"ПИРО";"ЭЛЕКТРО";"ГИДРО";"АНЕМО";"ГЕО";"ДЕНДРО";"ФИЗУХА"},0), L76,L73,L75,L74,L78,L77,L79,L80)%+CHOOSE(MATCH(LOWER(TRIM(S118)),{"ЕШКА";"УЛЬТА";"ОБ. УДАРЫ";"ЗАР. УДАРЫ";"ПРЫЖКИ";"УНИК. УДАР"},0), J84%,J85%,J86%,J87%,J88%,0))
*(1+(J76%+CHOOSE(MATCH(LOWER(TRIM(S118)),{"ЕШКА";"УЛЬТА";"ОБ. УДАРЫ";"ЗАР. УДАРЫ";"ПРЫЖКИ";"УНИК. УДАР"},0),J91,J92,J89,J90,J93,0)%)*MIN((J77%+CHOOSE(MATCH(LOWER(TRIM(S118)),{"ЕШКА";"УЛЬТА";"ОБ. УДАРЫ";"ЗАР. УДАРЫ";"ПРЫЖКИ";"УНИК. УДАР"},0),L90,L91,L88,L89,L92,0)%),100%))*(1-CHOOSE(MATCH(LOWER(TRIM(N118)),{"КРИО";"ПИРО";"ЭЛЕКТРО";"ГИДРО";"АНЕМО";"ГЕО";"ДЕНДРО";"ФИЗУХА"},0), C83,C80,C82,C81,E81,E82,E80,E83)%)*(D79),0)</f>
        <v>0</v>
      </c>
      <c r="M118" s="629" t="s">
        <v>125</v>
      </c>
      <c r="N118" s="1021" t="s">
        <v>1981</v>
      </c>
      <c r="P118" s="627" t="str">
        <f t="shared" si="18"/>
        <v>УНИК. УДАР</v>
      </c>
      <c r="Q118" s="1022"/>
      <c r="R118" s="1023"/>
      <c r="S118" s="1024" t="s">
        <v>2157</v>
      </c>
      <c r="T118" s="1025" t="s">
        <v>2143</v>
      </c>
    </row>
    <row r="119" ht="19.5" customHeight="1">
      <c r="B119" s="1026" t="s">
        <v>2167</v>
      </c>
      <c r="C119" s="544"/>
      <c r="D119" s="1036">
        <f t="array" ref="D119">ROUND(1.5*(CHOOSE(MATCH(LOWER(TRIM(B23)),{"УРОВЕНЬ 100";"УРОВЕНЬ 95";"УРОВЕНЬ 90";"УРОВЕНЬ 80"},0),1674.8092,1561.468,1446.85,1077.44)*(1+(16*J75)/(2000+J75)+N86%)*(1-C83%)),0)</f>
        <v>8985</v>
      </c>
      <c r="E119" s="630" t="s">
        <v>14</v>
      </c>
      <c r="F119" s="573" t="s">
        <v>14</v>
      </c>
      <c r="G119" s="629" t="s">
        <v>14</v>
      </c>
      <c r="H119" s="1029" t="s">
        <v>567</v>
      </c>
      <c r="I119" s="627" t="str">
        <f t="shared" si="17"/>
        <v>УНИК. УДАР</v>
      </c>
      <c r="J119" s="1030">
        <f t="array" ref="J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*(1-CHOOSE(MATCH(LOWER(TRIM(N119)),{"КРИО";"ПИРО";"ЭЛЕКТРО";"ГИДРО";"АНЕМО";"ГЕО";"ДЕНДРО";"ФИЗУХА"}, 0), C83,C80,C82,C81,E81,E82,E80,E83)%)*(D79),0)</f>
        <v>0</v>
      </c>
      <c r="K119" s="1031">
        <f t="array" ref="K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*(1+J76%)*(1-CHOOSE(MATCH(LOWER(TRIM(N119)),{"КРИО";"ПИРО";"ЭЛЕКТРО";"ГИДРО";"АНЕМО";"ГЕО";"ДЕНДРО";"ФИЗУХА"}, 0), C83,C80,C82,C81,E81,E82,E80,E83)%)*(D79),0)</f>
        <v>0</v>
      </c>
      <c r="L119" s="1031">
        <f t="array" ref="L119">ROUND((CHOOSE(MATCH(LOWER(TRIM(M119)),{"СА";"СА+ХП";"СА+МС";"СА+ЗЩ";"ХП";"ЗЩ"},0), J74,J74,J74,J74,J78,J79)*Q119%
+CHOOSE(MATCH(LOWER(TRIM(M119)),{"СА";"СА+ХП";"СА+МС";"СА+ЗЩ";"ХП";"ЗЩ"},0), 0,J78,J75,J79,0,0)*R119%+IF(L40=TRUE,L86+CHOOSE(MATCH(LOWER(TRIM(S119)),{"ЕШКА";"УЛЬТА";"ОБ. УДАРЫ";"ЗАР. УДАРЫ";"ПРЫЖКИ";"УНИК. УДАР"},0),L84,L85,L81,L82,L83,0),0)
+CHOOSE(MATCH(LOWER(TRIM(J40)),{"ПАР";"ОБ.ПАР";"ТАЯНИЕ";"ОБ.ТАЯНИЕ";"ОБОСТР.";"РАЗРАСТ.";"НЕТ"},0), 0,0,0,0,D102,D103,0))
*(1+L87%+CHOOSE(MATCH(LOWER(TRIM(N119)),{"КРИО";"ПИРО";"ЭЛЕКТРО";"ГИДРО";"АНЕМО";"ГЕО";"ДЕНДРО";"ФИЗУХА"},0), L76,L73,L75,L74,L78,L77,L79,L80)%+CHOOSE(MATCH(LOWER(TRIM(S119)),{"ЕШКА";"УЛЬТА";"ОБ. УДАРЫ";"ЗАР. УДАРЫ";"ПРЫЖКИ";"УНИК. УДАР"},0), J84%,J85%,J86%,J87%,J88%,0))
*(1+(J76%+CHOOSE(MATCH(LOWER(TRIM(S119)),{"ЕШКА";"УЛЬТА";"ОБ. УДАРЫ";"ЗАР. УДАРЫ";"ПРЫЖКИ";"УНИК. УДАР"},0),J91,J92,J89,J90,J93,0)%)*MIN((J77%+CHOOSE(MATCH(LOWER(TRIM(S119)),{"ЕШКА";"УЛЬТА";"ОБ. УДАРЫ";"ЗАР. УДАРЫ";"ПРЫЖКИ";"УНИК. УДАР"},0),L90,L91,L88,L89,L92,0)%),100%))*(1-CHOOSE(MATCH(LOWER(TRIM(N119)),{"КРИО";"ПИРО";"ЭЛЕКТРО";"ГИДРО";"АНЕМО";"ГЕО";"ДЕНДРО";"ФИЗУХА"},0), C83,C80,C82,C81,E81,E82,E80,E83)%)*(D79),0)</f>
        <v>0</v>
      </c>
      <c r="M119" s="629" t="s">
        <v>125</v>
      </c>
      <c r="N119" s="1021" t="s">
        <v>1981</v>
      </c>
      <c r="P119" s="627" t="str">
        <f t="shared" si="18"/>
        <v>УНИК. УДАР</v>
      </c>
      <c r="Q119" s="1032"/>
      <c r="R119" s="1033"/>
      <c r="S119" s="1024" t="s">
        <v>2157</v>
      </c>
      <c r="T119" s="1025" t="s">
        <v>2143</v>
      </c>
    </row>
    <row r="120" ht="19.5" customHeight="1">
      <c r="B120" s="1046" t="s">
        <v>2168</v>
      </c>
      <c r="C120" s="1047"/>
      <c r="D120" s="1048">
        <f t="array" ref="D120">ROUND(((CHOOSE(MATCH(LOWER(TRIM(B23)),{"УРОВЕНЬ 100";"УРОВЕНЬ 95";"УРОВЕНЬ 90";"УРОВЕНЬ 80"},0),2143.46,1997.23,1851,1597)+(CHOOSE(MATCH(LOWER(TRIM(B23)),{"УРОВЕНЬ 100";"УРОВЕНЬ 95";"УРОВЕНЬ 90";"УРОВЕНЬ 80"},0),2143.46,1997.23,1851,1597)*(4.44*(J75/(1400+J75)))))*(1+J83%)),0)</f>
        <v>4014</v>
      </c>
      <c r="E120" s="1049" t="s">
        <v>14</v>
      </c>
      <c r="F120" s="1050" t="s">
        <v>14</v>
      </c>
      <c r="G120" s="1051" t="s">
        <v>14</v>
      </c>
      <c r="H120" s="1052" t="s">
        <v>2169</v>
      </c>
      <c r="I120" s="627" t="str">
        <f t="shared" si="17"/>
        <v>УНИК. УДАР</v>
      </c>
      <c r="J120" s="1034">
        <f t="array" ref="J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*(1-CHOOSE(MATCH(LOWER(TRIM(N120)),{"КРИО";"ПИРО";"ЭЛЕКТРО";"ГИДРО";"АНЕМО";"ГЕО";"ДЕНДРО";"ФИЗУХА"}, 0), C83,C80,C82,C81,E81,E82,E80,E83)%)*(D79),0)</f>
        <v>0</v>
      </c>
      <c r="K120" s="1020">
        <f t="array" ref="K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*(1+J76%)*(1-CHOOSE(MATCH(LOWER(TRIM(N120)),{"КРИО";"ПИРО";"ЭЛЕКТРО";"ГИДРО";"АНЕМО";"ГЕО";"ДЕНДРО";"ФИЗУХА"}, 0), C83,C80,C82,C81,E81,E82,E80,E83)%)*(D79),0)</f>
        <v>0</v>
      </c>
      <c r="L120" s="1020">
        <f t="array" ref="L120">ROUND((CHOOSE(MATCH(LOWER(TRIM(M120)),{"СА";"СА+ХП";"СА+МС";"СА+ЗЩ";"ХП";"ЗЩ"},0), J74,J74,J74,J74,J78,J79)*Q120%
+CHOOSE(MATCH(LOWER(TRIM(M120)),{"СА";"СА+ХП";"СА+МС";"СА+ЗЩ";"ХП";"ЗЩ"},0), 0,J78,J75,J79,0,0)*R120%+IF(L41=TRUE,L86+CHOOSE(MATCH(LOWER(TRIM(S120)),{"ЕШКА";"УЛЬТА";"ОБ. УДАРЫ";"ЗАР. УДАРЫ";"ПРЫЖКИ";"УНИК. УДАР"},0),L84,L85,L81,L82,L83,0),0)
+CHOOSE(MATCH(LOWER(TRIM(J41)),{"ПАР";"ОБ.ПАР";"ТАЯНИЕ";"ОБ.ТАЯНИЕ";"ОБОСТР.";"РАЗРАСТ.";"НЕТ"},0), 0,0,0,0,D102,D103,0))
*(1+L87%+CHOOSE(MATCH(LOWER(TRIM(N120)),{"КРИО";"ПИРО";"ЭЛЕКТРО";"ГИДРО";"АНЕМО";"ГЕО";"ДЕНДРО";"ФИЗУХА"},0), L76,L73,L75,L74,L78,L77,L79,L80)%+CHOOSE(MATCH(LOWER(TRIM(S120)),{"ЕШКА";"УЛЬТА";"ОБ. УДАРЫ";"ЗАР. УДАРЫ";"ПРЫЖКИ";"УНИК. УДАР"},0), J84%,J85%,J86%,J87%,J88%,0))
*(1+(J76%+CHOOSE(MATCH(LOWER(TRIM(S120)),{"ЕШКА";"УЛЬТА";"ОБ. УДАРЫ";"ЗАР. УДАРЫ";"ПРЫЖКИ";"УНИК. УДАР"},0),J91,J92,J89,J90,J93,0)%)*MIN((J77%+CHOOSE(MATCH(LOWER(TRIM(S120)),{"ЕШКА";"УЛЬТА";"ОБ. УДАРЫ";"ЗАР. УДАРЫ";"ПРЫЖКИ";"УНИК. УДАР"},0),L90,L91,L88,L89,L92,0)%),100%))*(1-CHOOSE(MATCH(LOWER(TRIM(N120)),{"КРИО";"ПИРО";"ЭЛЕКТРО";"ГИДРО";"АНЕМО";"ГЕО";"ДЕНДРО";"ФИЗУХА"},0), C83,C80,C82,C81,E81,E82,E80,E83)%)*(D79),0)</f>
        <v>0</v>
      </c>
      <c r="M120" s="629" t="s">
        <v>125</v>
      </c>
      <c r="N120" s="1021" t="s">
        <v>1981</v>
      </c>
      <c r="P120" s="627" t="str">
        <f t="shared" si="18"/>
        <v>УНИК. УДАР</v>
      </c>
      <c r="Q120" s="1022"/>
      <c r="R120" s="1023"/>
      <c r="S120" s="1024" t="s">
        <v>2157</v>
      </c>
      <c r="T120" s="1025" t="s">
        <v>2143</v>
      </c>
    </row>
    <row r="121" ht="19.5" customHeight="1">
      <c r="B121" s="473"/>
      <c r="C121" s="473"/>
      <c r="D121" s="473"/>
      <c r="E121" s="473"/>
      <c r="F121" s="473"/>
      <c r="G121" s="473"/>
      <c r="H121" s="473"/>
      <c r="I121" s="627" t="str">
        <f t="shared" si="17"/>
        <v>УНИК. УДАР</v>
      </c>
      <c r="J121" s="1030">
        <f t="array" ref="J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*(1-CHOOSE(MATCH(LOWER(TRIM(N121)),{"КРИО";"ПИРО";"ЭЛЕКТРО";"ГИДРО";"АНЕМО";"ГЕО";"ДЕНДРО";"ФИЗУХА"}, 0), C83,C80,C82,C81,E81,E82,E80,E83)%)*(D79),0)</f>
        <v>0</v>
      </c>
      <c r="K121" s="1031">
        <f t="array" ref="K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*(1+J76%)*(1-CHOOSE(MATCH(LOWER(TRIM(N121)),{"КРИО";"ПИРО";"ЭЛЕКТРО";"ГИДРО";"АНЕМО";"ГЕО";"ДЕНДРО";"ФИЗУХА"}, 0), C83,C80,C82,C81,E81,E82,E80,E83)%)*(D79),0)</f>
        <v>0</v>
      </c>
      <c r="L121" s="1031">
        <f t="array" ref="L121">ROUND((CHOOSE(MATCH(LOWER(TRIM(M121)),{"СА";"СА+ХП";"СА+МС";"СА+ЗЩ";"ХП";"ЗЩ"},0), J74,J74,J74,J74,J78,J79)*Q121%
+CHOOSE(MATCH(LOWER(TRIM(M121)),{"СА";"СА+ХП";"СА+МС";"СА+ЗЩ";"ХП";"ЗЩ"},0), 0,J78,J75,J79,0,0)*R121%+IF(L42=TRUE,L86+CHOOSE(MATCH(LOWER(TRIM(S121)),{"ЕШКА";"УЛЬТА";"ОБ. УДАРЫ";"ЗАР. УДАРЫ";"ПРЫЖКИ";"УНИК. УДАР"},0),L84,L85,L81,L82,L83,0),0)
+CHOOSE(MATCH(LOWER(TRIM(J42)),{"ПАР";"ОБ.ПАР";"ТАЯНИЕ";"ОБ.ТАЯНИЕ";"ОБОСТР.";"РАЗРАСТ.";"НЕТ"},0), 0,0,0,0,D102,D103,0))
*(1+L87%+CHOOSE(MATCH(LOWER(TRIM(N121)),{"КРИО";"ПИРО";"ЭЛЕКТРО";"ГИДРО";"АНЕМО";"ГЕО";"ДЕНДРО";"ФИЗУХА"},0), L76,L73,L75,L74,L78,L77,L79,L80)%+CHOOSE(MATCH(LOWER(TRIM(S121)),{"ЕШКА";"УЛЬТА";"ОБ. УДАРЫ";"ЗАР. УДАРЫ";"ПРЫЖКИ";"УНИК. УДАР"},0), J84%,J85%,J86%,J87%,J88%,0))
*(1+(J76%+CHOOSE(MATCH(LOWER(TRIM(S121)),{"ЕШКА";"УЛЬТА";"ОБ. УДАРЫ";"ЗАР. УДАРЫ";"ПРЫЖКИ";"УНИК. УДАР"},0),J91,J92,J89,J90,J93,0)%)*MIN((J77%+CHOOSE(MATCH(LOWER(TRIM(S121)),{"ЕШКА";"УЛЬТА";"ОБ. УДАРЫ";"ЗАР. УДАРЫ";"ПРЫЖКИ";"УНИК. УДАР"},0),L90,L91,L88,L89,L92,0)%),100%))*(1-CHOOSE(MATCH(LOWER(TRIM(N121)),{"КРИО";"ПИРО";"ЭЛЕКТРО";"ГИДРО";"АНЕМО";"ГЕО";"ДЕНДРО";"ФИЗУХА"},0), C83,C80,C82,C81,E81,E82,E80,E83)%)*(D79),0)</f>
        <v>0</v>
      </c>
      <c r="M121" s="629" t="s">
        <v>125</v>
      </c>
      <c r="N121" s="1021" t="s">
        <v>1981</v>
      </c>
      <c r="P121" s="627" t="str">
        <f t="shared" si="18"/>
        <v>УНИК. УДАР</v>
      </c>
      <c r="Q121" s="1032"/>
      <c r="R121" s="1033"/>
      <c r="S121" s="1024" t="s">
        <v>2157</v>
      </c>
      <c r="T121" s="1025" t="s">
        <v>2143</v>
      </c>
    </row>
    <row r="122" ht="19.5" customHeight="1">
      <c r="B122" s="473"/>
      <c r="C122" s="473"/>
      <c r="D122" s="473"/>
      <c r="E122" s="473"/>
      <c r="F122" s="473"/>
      <c r="G122" s="473"/>
      <c r="H122" s="473"/>
      <c r="I122" s="627" t="str">
        <f t="shared" si="17"/>
        <v>УНИК. УДАР</v>
      </c>
      <c r="J122" s="1020">
        <f t="array" ref="J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*(1-CHOOSE(MATCH(LOWER(TRIM(N122)),{"КРИО";"ПИРО";"ЭЛЕКТРО";"ГИДРО";"АНЕМО";"ГЕО";"ДЕНДРО";"ФИЗУХА"}, 0), C83,C80,C82,C81,E81,E82,E80,E83)%)*(D79),0)</f>
        <v>0</v>
      </c>
      <c r="K122" s="1020">
        <f t="array" ref="K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*(1+J76%)*(1-CHOOSE(MATCH(LOWER(TRIM(N122)),{"КРИО";"ПИРО";"ЭЛЕКТРО";"ГИДРО";"АНЕМО";"ГЕО";"ДЕНДРО";"ФИЗУХА"}, 0), C83,C80,C82,C81,E81,E82,E80,E83)%)*(D79),0)</f>
        <v>0</v>
      </c>
      <c r="L122" s="1020">
        <f t="array" ref="L122">ROUND((CHOOSE(MATCH(LOWER(TRIM(M122)),{"СА";"СА+ХП";"СА+МС";"СА+ЗЩ";"ХП";"ЗЩ"},0), J74,J74,J74,J74,J78,J79)*Q122%
+CHOOSE(MATCH(LOWER(TRIM(M122)),{"СА";"СА+ХП";"СА+МС";"СА+ЗЩ";"ХП";"ЗЩ"},0), 0,J78,J75,J79,0,0)*R122%+IF(L43=TRUE,L86+CHOOSE(MATCH(LOWER(TRIM(S122)),{"ЕШКА";"УЛЬТА";"ОБ. УДАРЫ";"ЗАР. УДАРЫ";"ПРЫЖКИ";"УНИК. УДАР"},0),L84,L85,L81,L82,L83,0),0)
+CHOOSE(MATCH(LOWER(TRIM(J43)),{"ПАР";"ОБ.ПАР";"ТАЯНИЕ";"ОБ.ТАЯНИЕ";"ОБОСТР.";"РАЗРАСТ.";"НЕТ"},0), 0,0,0,0,D102,D103,0))
*(1+L87%+CHOOSE(MATCH(LOWER(TRIM(N122)),{"КРИО";"ПИРО";"ЭЛЕКТРО";"ГИДРО";"АНЕМО";"ГЕО";"ДЕНДРО";"ФИЗУХА"},0), L76,L73,L75,L74,L78,L77,L79,L80)%+CHOOSE(MATCH(LOWER(TRIM(S122)),{"ЕШКА";"УЛЬТА";"ОБ. УДАРЫ";"ЗАР. УДАРЫ";"ПРЫЖКИ";"УНИК. УДАР"},0), J84%,J85%,J86%,J87%,J88%,0))
*(1+(J76%+CHOOSE(MATCH(LOWER(TRIM(S122)),{"ЕШКА";"УЛЬТА";"ОБ. УДАРЫ";"ЗАР. УДАРЫ";"ПРЫЖКИ";"УНИК. УДАР"},0),J91,J92,J89,J90,J93,0)%)*MIN((J77%+CHOOSE(MATCH(LOWER(TRIM(S122)),{"ЕШКА";"УЛЬТА";"ОБ. УДАРЫ";"ЗАР. УДАРЫ";"ПРЫЖКИ";"УНИК. УДАР"},0),L90,L91,L88,L89,L92,0)%),100%))*(1-CHOOSE(MATCH(LOWER(TRIM(N122)),{"КРИО";"ПИРО";"ЭЛЕКТРО";"ГИДРО";"АНЕМО";"ГЕО";"ДЕНДРО";"ФИЗУХА"},0), C83,C80,C82,C81,E81,E82,E80,E83)%)*(D79),0)</f>
        <v>0</v>
      </c>
      <c r="M122" s="629" t="s">
        <v>125</v>
      </c>
      <c r="N122" s="1021" t="s">
        <v>1981</v>
      </c>
      <c r="P122" s="627" t="str">
        <f t="shared" si="18"/>
        <v>УНИК. УДАР</v>
      </c>
      <c r="Q122" s="1022"/>
      <c r="R122" s="1023"/>
      <c r="S122" s="1024" t="s">
        <v>2157</v>
      </c>
      <c r="T122" s="1025" t="s">
        <v>2143</v>
      </c>
    </row>
    <row r="123" ht="19.5" customHeight="1">
      <c r="B123" s="473"/>
      <c r="C123" s="473"/>
      <c r="D123" s="473"/>
      <c r="E123" s="473"/>
      <c r="F123" s="473"/>
      <c r="G123" s="473"/>
      <c r="H123" s="473"/>
      <c r="I123" s="627" t="str">
        <f t="shared" si="17"/>
        <v>УНИК. УДАР</v>
      </c>
      <c r="J123" s="1031">
        <f t="array" ref="J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*(1-CHOOSE(MATCH(LOWER(TRIM(N123)),{"КРИО";"ПИРО";"ЭЛЕКТРО";"ГИДРО";"АНЕМО";"ГЕО";"ДЕНДРО";"ФИЗУХА"}, 0), C83,C80,C82,C81,E81,E82,E80,E83)%)*(D79),0)</f>
        <v>0</v>
      </c>
      <c r="K123" s="1031">
        <f t="array" ref="K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*(1+J76%)*(1-CHOOSE(MATCH(LOWER(TRIM(N123)),{"КРИО";"ПИРО";"ЭЛЕКТРО";"ГИДРО";"АНЕМО";"ГЕО";"ДЕНДРО";"ФИЗУХА"}, 0), C83,C80,C82,C81,E81,E82,E80,E83)%)*(D79),0)</f>
        <v>0</v>
      </c>
      <c r="L123" s="1031">
        <f t="array" ref="L123">ROUND((CHOOSE(MATCH(LOWER(TRIM(M123)),{"СА";"СА+ХП";"СА+МС";"СА+ЗЩ";"ХП";"ЗЩ"},0), J74,J74,J74,J74,J78,J79)*Q123%
+CHOOSE(MATCH(LOWER(TRIM(M123)),{"СА";"СА+ХП";"СА+МС";"СА+ЗЩ";"ХП";"ЗЩ"},0), 0,J78,J75,J79,0,0)*R123%+IF(L44=TRUE,L86+CHOOSE(MATCH(LOWER(TRIM(S123)),{"ЕШКА";"УЛЬТА";"ОБ. УДАРЫ";"ЗАР. УДАРЫ";"ПРЫЖКИ";"УНИК. УДАР"},0),L84,L85,L81,L82,L83,0),0)
+CHOOSE(MATCH(LOWER(TRIM(J44)),{"ПАР";"ОБ.ПАР";"ТАЯНИЕ";"ОБ.ТАЯНИЕ";"ОБОСТР.";"РАЗРАСТ.";"НЕТ"},0), 0,0,0,0,D102,D103,0))
*(1+L87%+CHOOSE(MATCH(LOWER(TRIM(N123)),{"КРИО";"ПИРО";"ЭЛЕКТРО";"ГИДРО";"АНЕМО";"ГЕО";"ДЕНДРО";"ФИЗУХА"},0), L76,L73,L75,L74,L78,L77,L79,L80)%+CHOOSE(MATCH(LOWER(TRIM(S123)),{"ЕШКА";"УЛЬТА";"ОБ. УДАРЫ";"ЗАР. УДАРЫ";"ПРЫЖКИ";"УНИК. УДАР"},0), J84%,J85%,J86%,J87%,J88%,0))
*(1+(J76%+CHOOSE(MATCH(LOWER(TRIM(S123)),{"ЕШКА";"УЛЬТА";"ОБ. УДАРЫ";"ЗАР. УДАРЫ";"ПРЫЖКИ";"УНИК. УДАР"},0),J91,J92,J89,J90,J93,0)%)*MIN((J77%+CHOOSE(MATCH(LOWER(TRIM(S123)),{"ЕШКА";"УЛЬТА";"ОБ. УДАРЫ";"ЗАР. УДАРЫ";"ПРЫЖКИ";"УНИК. УДАР"},0),L90,L91,L88,L89,L92,0)%),100%))*(1-CHOOSE(MATCH(LOWER(TRIM(N123)),{"КРИО";"ПИРО";"ЭЛЕКТРО";"ГИДРО";"АНЕМО";"ГЕО";"ДЕНДРО";"ФИЗУХА"},0), C83,C80,C82,C81,E81,E82,E80,E83)%)*(D79),0)</f>
        <v>0</v>
      </c>
      <c r="M123" s="629" t="s">
        <v>125</v>
      </c>
      <c r="N123" s="1021" t="s">
        <v>1981</v>
      </c>
      <c r="P123" s="627" t="str">
        <f t="shared" si="18"/>
        <v>УНИК. УДАР</v>
      </c>
      <c r="Q123" s="1032"/>
      <c r="R123" s="1033"/>
      <c r="S123" s="1024" t="s">
        <v>2157</v>
      </c>
      <c r="T123" s="1025" t="s">
        <v>2143</v>
      </c>
    </row>
    <row r="124" ht="19.5" customHeight="1">
      <c r="B124" s="473"/>
      <c r="C124" s="473"/>
      <c r="D124" s="473"/>
      <c r="E124" s="473"/>
      <c r="F124" s="473"/>
      <c r="G124" s="473"/>
      <c r="H124" s="473"/>
      <c r="I124" s="627" t="str">
        <f t="shared" si="17"/>
        <v>УНИК. УДАР</v>
      </c>
      <c r="J124" s="1020">
        <f t="array" ref="J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
(1+L87%+CHOOSE(MATCH(LOWER(TRIM(N124)),{"КРИО";"ПИРО";"ЭЛЕКТРО";"ГИДРО";"АНЕМО";"ГЕО";"ДЕНДРО";"ФИЗУХА"}, 0), L76,L73,L75,L74,L78,L77,L79,L80)%+CHOOSE(MATCH(LOWER(TRIM(S124)),{"ЕШКА";"УЛЬТА";"ОБ. УДАРЫ";"ЗАР. УДАРЫ";"ПРЫЖКИ";"УНИК. УДАР"},0),J84%,J85%,J86%,J87%,J88%,0))
*(1-CHOOSE(MATCH(LOWER(TRIM(N124)),{"КРИО";"ПИРО";"ЭЛЕКТРО";"ГИДРО";"АНЕМО";"ГЕО";"ДЕНДРО";"ФИЗУХА"}, 0), C83,C80,C82,C81,E81,E82,E80,E83)%)*(D79),0)</f>
        <v>0</v>
      </c>
      <c r="K124" s="1020">
        <f t="array" ref="K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УДАР"},0),L84,L85,L81,L82,L83,0),0))*
(1+L87%+CHOOSE(MATCH(LOWER(TRIM(N124)),{"КРИО";"ПИРО";"ЭЛЕКТРО";"ГИДРО";"АНЕМО";"ГЕО";"ДЕНДРО";"ФИЗУХА"}, 0), L76,L73,L75,L74,L78,L77,L79,L80)%+CHOOSE(MATCH(LOWER(TRIM(S124)),{"ЕШКА";"УЛЬТА";"ОБ. УДАРЫ";"ЗАР. УДАРЫ";"ПРЫЖКИ";"УНИК. УДАР"},0),J84%,J85%,J86%,J87%,J88%,0))
*(1+J76%)*(1-CHOOSE(MATCH(LOWER(TRIM(N124)),{"КРИО";"ПИРО";"ЭЛЕКТРО";"ГИДРО";"АНЕМО";"ГЕО";"ДЕНДРО";"ФИЗУХА"}, 0), C83,C80,C82,C81,E81,E82,E80,E83)%)*(D79),0)</f>
        <v>0</v>
      </c>
      <c r="L124" s="1020">
        <f t="array" ref="L124">ROUND((CHOOSE(MATCH(LOWER(TRIM(M124)),{"СА";"СА+ХП";"СА+МС";"СА+ЗЩ";"ХП";"ЗЩ"},0), J74,J74,J74,J74,J78,J79)*Q124%
+CHOOSE(MATCH(LOWER(TRIM(M124)),{"СА";"СА+ХП";"СА+МС";"СА+ЗЩ";"ХП";"ЗЩ"},0), 0,J78,J75,J79,0,0)*R124%+IF(L45=TRUE,L86+CHOOSE(MATCH(LOWER(TRIM(S124)),{"ЕШКА";"УЛЬТА";"ОБ. УДАРЫ";"ЗАР. УДАРЫ";"ПРЫЖКИ";"УНИК. УДАР"},0),L84,L85,L81,L82,L83,0),0)
+CHOOSE(MATCH(LOWER(TRIM(J45)),{"ПАР";"ОБ.ПАР";"ТАЯНИЕ";"ОБ.ТАЯНИЕ";"ОБОСТР.";"РАЗРАСТ.";"НЕТ"},0), 0,0,0,0,D102,D103,0))
*(1+L87%+CHOOSE(MATCH(LOWER(TRIM(N124)),{"КРИО";"ПИРО";"ЭЛЕКТРО";"ГИДРО";"АНЕМО";"ГЕО";"ДЕНДРО";"ФИЗУХА"},0), L76,L73,L75,L74,L78,L77,L79,L80)%+CHOOSE(MATCH(LOWER(TRIM(S124)),{"ЕШКА";"УЛЬТА";"ОБ. УДАРЫ";"ЗАР. УДАРЫ";"ПРЫЖКИ";"УНИК. УДАР"},0), J84%,J85%,J86%,J87%,J88%,0))
*(1+(J76%+CHOOSE(MATCH(LOWER(TRIM(S124)),{"ЕШКА";"УЛЬТА";"ОБ. УДАРЫ";"ЗАР. УДАРЫ";"ПРЫЖКИ";"УНИК. УДАР"},0),J91,J92,J89,J90,J93,0)%)*MIN((J77%+CHOOSE(MATCH(LOWER(TRIM(S124)),{"ЕШКА";"УЛЬТА";"ОБ. УДАРЫ";"ЗАР. УДАРЫ";"ПРЫЖКИ";"УНИК. УДАР"},0),L90,L91,L88,L89,L92,0)%),100%))*(1-CHOOSE(MATCH(LOWER(TRIM(N124)),{"КРИО";"ПИРО";"ЭЛЕКТРО";"ГИДРО";"АНЕМО";"ГЕО";"ДЕНДРО";"ФИЗУХА"},0), C83,C80,C82,C81,E81,E82,E80,E83)%)*(D79),0)</f>
        <v>0</v>
      </c>
      <c r="M124" s="629" t="s">
        <v>125</v>
      </c>
      <c r="N124" s="1021" t="s">
        <v>1981</v>
      </c>
      <c r="P124" s="627" t="str">
        <f t="shared" si="18"/>
        <v>УНИК. УДАР</v>
      </c>
      <c r="Q124" s="1022"/>
      <c r="R124" s="1023"/>
      <c r="S124" s="1053" t="s">
        <v>2157</v>
      </c>
      <c r="T124" s="1054" t="s">
        <v>2143</v>
      </c>
    </row>
    <row r="125" ht="19.5" customHeight="1">
      <c r="B125" s="473"/>
      <c r="C125" s="473"/>
      <c r="D125" s="473"/>
      <c r="E125" s="473"/>
      <c r="F125" s="473"/>
      <c r="G125" s="473"/>
      <c r="H125" s="473"/>
      <c r="I125" s="627" t="str">
        <f t="shared" ref="I125:I128" si="20">P125</f>
        <v>ПРОЧЕЕ</v>
      </c>
      <c r="J125" s="628">
        <f t="array" ref="J125">ROUND((Q125+(CHOOSE(MATCH(LOWER(TRIM(M125)),{"СА";"ХП";"ЗЩ";"МС"}, 0), J74,J78,J79,J75)%*R125))*(1-CHOOSE(MATCH(LOWER(TRIM(N125)),{"КРИО";"ПИРО";"ЭЛЕКТРО";"ГИДРО";"АНЕМО";"ГЕО";"ДЕНДРО";"ФИЗУХА"}, 0), C83,C80,C82,C81,E81,E82,E80,E83)%),0)</f>
        <v>0</v>
      </c>
      <c r="K125" s="630" t="s">
        <v>14</v>
      </c>
      <c r="L125" s="630" t="s">
        <v>14</v>
      </c>
      <c r="M125" s="629" t="s">
        <v>125</v>
      </c>
      <c r="N125" s="1055" t="s">
        <v>2170</v>
      </c>
      <c r="P125" s="627" t="s">
        <v>1912</v>
      </c>
      <c r="Q125" s="1027"/>
      <c r="R125" s="1055"/>
      <c r="S125" s="472"/>
      <c r="T125" s="472"/>
    </row>
    <row r="126" ht="19.5" customHeight="1">
      <c r="B126" s="473"/>
      <c r="C126" s="473"/>
      <c r="D126" s="473"/>
      <c r="E126" s="473"/>
      <c r="F126" s="473"/>
      <c r="G126" s="473"/>
      <c r="H126" s="473"/>
      <c r="I126" s="615" t="str">
        <f t="shared" si="20"/>
        <v>ЛЕЧЕНИЕ</v>
      </c>
      <c r="J126" s="1056">
        <f t="array" ref="J126">ROUND((R126+(CHOOSE(MATCH(LOWER(TRIM(M126)),{"СА";"ХП";"ЗЩ";"МС"}, 0), J74,J78,J79,J75)*Q126%))*(1+J81%+J82%),0)</f>
        <v>0</v>
      </c>
      <c r="K126" s="1057">
        <v>1.0</v>
      </c>
      <c r="L126" s="1057">
        <f>J126*K126</f>
        <v>0</v>
      </c>
      <c r="M126" s="1058" t="s">
        <v>165</v>
      </c>
      <c r="N126" s="1059" t="s">
        <v>1918</v>
      </c>
      <c r="P126" s="615" t="s">
        <v>1919</v>
      </c>
      <c r="Q126" s="1060"/>
      <c r="R126" s="1061"/>
      <c r="S126" s="471" t="s">
        <v>1919</v>
      </c>
      <c r="T126" s="1062" t="s">
        <v>2143</v>
      </c>
    </row>
    <row r="127" ht="19.5" customHeight="1">
      <c r="B127" s="473"/>
      <c r="C127" s="473"/>
      <c r="D127" s="473"/>
      <c r="E127" s="473"/>
      <c r="F127" s="473"/>
      <c r="G127" s="473"/>
      <c r="H127" s="473"/>
      <c r="I127" s="627" t="str">
        <f t="shared" si="20"/>
        <v>ЛЕЧЕНИЕ</v>
      </c>
      <c r="J127" s="1036">
        <f t="array" ref="J127">ROUND((R127+(CHOOSE(MATCH(LOWER(TRIM(M127)),{"СА";"ХП";"ЗЩ";"МС"}, 0), J74,J78,J79,J75)*Q127%))*(1+J81%+J82%),0)</f>
        <v>0</v>
      </c>
      <c r="K127" s="630">
        <v>1.0</v>
      </c>
      <c r="L127" s="630">
        <f t="shared" ref="L127:L128" si="21">K127*J127</f>
        <v>0</v>
      </c>
      <c r="M127" s="629" t="s">
        <v>1330</v>
      </c>
      <c r="N127" s="1063" t="s">
        <v>1918</v>
      </c>
      <c r="P127" s="627" t="s">
        <v>1919</v>
      </c>
      <c r="Q127" s="1022"/>
      <c r="R127" s="1023"/>
      <c r="S127" s="1064"/>
      <c r="T127" s="1065" t="s">
        <v>2143</v>
      </c>
    </row>
    <row r="128" ht="19.5" customHeight="1">
      <c r="B128" s="473"/>
      <c r="C128" s="473"/>
      <c r="D128" s="473"/>
      <c r="E128" s="473"/>
      <c r="F128" s="473"/>
      <c r="G128" s="473"/>
      <c r="H128" s="473"/>
      <c r="I128" s="750" t="str">
        <f t="shared" si="20"/>
        <v>ЩИТ</v>
      </c>
      <c r="J128" s="1066">
        <f t="array" ref="J128">ROUND((R128+(CHOOSE(MATCH(LOWER(TRIM(M128)),{"СА";"ХП";"ЗЩ";"МС"}, 0), J74,J78,J79,J75)*Q128%))*(1+J83%),0)</f>
        <v>0</v>
      </c>
      <c r="K128" s="1067">
        <v>1.0</v>
      </c>
      <c r="L128" s="1067">
        <f t="shared" si="21"/>
        <v>0</v>
      </c>
      <c r="M128" s="1068" t="s">
        <v>165</v>
      </c>
      <c r="N128" s="1069" t="s">
        <v>1877</v>
      </c>
      <c r="P128" s="750" t="s">
        <v>1932</v>
      </c>
      <c r="Q128" s="1070"/>
      <c r="R128" s="1071"/>
      <c r="S128" s="471" t="s">
        <v>1932</v>
      </c>
      <c r="T128" s="1072" t="s">
        <v>2143</v>
      </c>
    </row>
    <row r="129" ht="19.5" customHeight="1">
      <c r="B129" s="473"/>
      <c r="C129" s="473"/>
      <c r="D129" s="473"/>
      <c r="E129" s="473"/>
      <c r="F129" s="473"/>
      <c r="G129" s="473"/>
      <c r="H129" s="473"/>
      <c r="I129" s="472"/>
      <c r="J129" s="1073" t="s">
        <v>2171</v>
      </c>
      <c r="K129" s="1074" t="s">
        <v>1927</v>
      </c>
      <c r="L129" s="1075" t="s">
        <v>2172</v>
      </c>
      <c r="M129" s="472"/>
      <c r="N129" s="472"/>
      <c r="P129" s="1076" t="s">
        <v>2173</v>
      </c>
      <c r="Q129" s="1077" t="s">
        <v>2137</v>
      </c>
      <c r="R129" s="1078" t="s">
        <v>2174</v>
      </c>
      <c r="S129" s="472"/>
      <c r="T129" s="472"/>
    </row>
    <row r="130" ht="19.5" customHeight="1">
      <c r="B130" s="473"/>
    </row>
  </sheetData>
  <mergeCells count="143">
    <mergeCell ref="B18:B19"/>
    <mergeCell ref="C18:C19"/>
    <mergeCell ref="B25:C25"/>
    <mergeCell ref="B37:D38"/>
    <mergeCell ref="E37:F38"/>
    <mergeCell ref="B39:C40"/>
    <mergeCell ref="D39:D40"/>
    <mergeCell ref="E39:E40"/>
    <mergeCell ref="F39:F40"/>
    <mergeCell ref="B41:C42"/>
    <mergeCell ref="D41:D42"/>
    <mergeCell ref="E41:E42"/>
    <mergeCell ref="F41:F42"/>
    <mergeCell ref="B43:C44"/>
    <mergeCell ref="D43:D44"/>
    <mergeCell ref="F43:F44"/>
    <mergeCell ref="D45:D46"/>
    <mergeCell ref="E45:E46"/>
    <mergeCell ref="B56:E57"/>
    <mergeCell ref="B75:E76"/>
    <mergeCell ref="B79:C79"/>
    <mergeCell ref="D79:E79"/>
    <mergeCell ref="B84:E84"/>
    <mergeCell ref="B89:D89"/>
    <mergeCell ref="E43:E44"/>
    <mergeCell ref="E47:E48"/>
    <mergeCell ref="F47:F48"/>
    <mergeCell ref="E49:E50"/>
    <mergeCell ref="F49:F50"/>
    <mergeCell ref="B45:C46"/>
    <mergeCell ref="F45:F46"/>
    <mergeCell ref="D8:E9"/>
    <mergeCell ref="F12:F15"/>
    <mergeCell ref="D6:E7"/>
    <mergeCell ref="B21:E22"/>
    <mergeCell ref="B23:C24"/>
    <mergeCell ref="D23:E24"/>
    <mergeCell ref="D25:E25"/>
    <mergeCell ref="B27:E27"/>
    <mergeCell ref="D18:D19"/>
    <mergeCell ref="K3:O4"/>
    <mergeCell ref="K5:L6"/>
    <mergeCell ref="M5:M6"/>
    <mergeCell ref="N5:O6"/>
    <mergeCell ref="A2:A3"/>
    <mergeCell ref="B2:E3"/>
    <mergeCell ref="B12:D12"/>
    <mergeCell ref="L13:M13"/>
    <mergeCell ref="L14:M14"/>
    <mergeCell ref="L12:M12"/>
    <mergeCell ref="Q4:R5"/>
    <mergeCell ref="S4:S5"/>
    <mergeCell ref="S10:T10"/>
    <mergeCell ref="S11:S12"/>
    <mergeCell ref="T11:T13"/>
    <mergeCell ref="S13:S14"/>
    <mergeCell ref="T14:T16"/>
    <mergeCell ref="T4:T6"/>
    <mergeCell ref="N16:O16"/>
    <mergeCell ref="H16:M17"/>
    <mergeCell ref="I7:K15"/>
    <mergeCell ref="L7:M7"/>
    <mergeCell ref="L8:M8"/>
    <mergeCell ref="L9:M9"/>
    <mergeCell ref="L10:M10"/>
    <mergeCell ref="L11:M11"/>
    <mergeCell ref="L15:M15"/>
    <mergeCell ref="H2:H3"/>
    <mergeCell ref="F2:G3"/>
    <mergeCell ref="Q2:Q3"/>
    <mergeCell ref="B4:C11"/>
    <mergeCell ref="D4:E5"/>
    <mergeCell ref="F4:F7"/>
    <mergeCell ref="I2:I3"/>
    <mergeCell ref="F8:F11"/>
    <mergeCell ref="B1:T1"/>
    <mergeCell ref="R2:T3"/>
    <mergeCell ref="Q74:Q75"/>
    <mergeCell ref="Q76:Q77"/>
    <mergeCell ref="Q78:Q79"/>
    <mergeCell ref="Q80:Q81"/>
    <mergeCell ref="B94:T94"/>
    <mergeCell ref="B95:H96"/>
    <mergeCell ref="I95:N96"/>
    <mergeCell ref="B120:C120"/>
    <mergeCell ref="B113:C113"/>
    <mergeCell ref="B114:C114"/>
    <mergeCell ref="B115:C115"/>
    <mergeCell ref="B116:C116"/>
    <mergeCell ref="B117:C117"/>
    <mergeCell ref="B118:C118"/>
    <mergeCell ref="B119:C119"/>
    <mergeCell ref="B107:C107"/>
    <mergeCell ref="B108:C108"/>
    <mergeCell ref="B109:C109"/>
    <mergeCell ref="B110:C110"/>
    <mergeCell ref="B111:C111"/>
    <mergeCell ref="B112:C112"/>
    <mergeCell ref="B104:C104"/>
    <mergeCell ref="B106:C106"/>
    <mergeCell ref="B105:C105"/>
    <mergeCell ref="O95:O129"/>
    <mergeCell ref="P95:T96"/>
    <mergeCell ref="B130:T130"/>
    <mergeCell ref="A4:A130"/>
    <mergeCell ref="B97:C97"/>
    <mergeCell ref="B98:C98"/>
    <mergeCell ref="B99:C99"/>
    <mergeCell ref="S15:S16"/>
    <mergeCell ref="O27:Q28"/>
    <mergeCell ref="R27:T28"/>
    <mergeCell ref="S34:T34"/>
    <mergeCell ref="S35:S36"/>
    <mergeCell ref="T35:T36"/>
    <mergeCell ref="T37:T39"/>
    <mergeCell ref="S38:S39"/>
    <mergeCell ref="S40:T41"/>
    <mergeCell ref="S46:T47"/>
    <mergeCell ref="I48:M49"/>
    <mergeCell ref="O48:O49"/>
    <mergeCell ref="P48:P49"/>
    <mergeCell ref="O50:R51"/>
    <mergeCell ref="S43:T44"/>
    <mergeCell ref="S56:S57"/>
    <mergeCell ref="T56:T57"/>
    <mergeCell ref="U1:U130"/>
    <mergeCell ref="O58:Q59"/>
    <mergeCell ref="R58:R59"/>
    <mergeCell ref="S58:S59"/>
    <mergeCell ref="T58:T59"/>
    <mergeCell ref="O70:T71"/>
    <mergeCell ref="I71:N72"/>
    <mergeCell ref="S49:T50"/>
    <mergeCell ref="S52:S53"/>
    <mergeCell ref="T52:T53"/>
    <mergeCell ref="S54:S55"/>
    <mergeCell ref="T54:T55"/>
    <mergeCell ref="O57:P57"/>
    <mergeCell ref="Q57:R57"/>
    <mergeCell ref="B100:C100"/>
    <mergeCell ref="B101:C101"/>
    <mergeCell ref="B102:C102"/>
    <mergeCell ref="B103:C103"/>
  </mergeCells>
  <dataValidations>
    <dataValidation type="list" allowBlank="1" showErrorMessage="1" sqref="N98:N125 N128">
      <formula1>"КРИО,ПИРО,ЭЛЕКТРО,ГИДРО,АНЕМО,ГЕО,ДЕНДРО,ФИЗУХА"</formula1>
    </dataValidation>
    <dataValidation type="list" allowBlank="1" showErrorMessage="1" sqref="G5 D6 G9 G13">
      <formula1>"АНЕМО,ГЕО,ПИРО,ГИДРО,ЭЛЕКТРО,КРИО,ДЕНДРО,ФИЗУХА"</formula1>
    </dataValidation>
    <dataValidation type="list" allowBlank="1" showErrorMessage="1" sqref="R27">
      <formula1>"СЕРЕНАДА ЛУНЫ,НОЧЬ НЕБА,КЛЯТВА НОЧИ,ФИНАЛ ГЛУБИН,СВИТОК ГЕРОЯ,ОБСИД. ФОЛИАНТ,ФРАГМЕНТ,ГРЁЗЫ,ШЁПОТ В ЛЕСУ,ПЕСНЬ ВРЕМЁН,ЗОЛОТАЯ ТРУППА,ОХОТНИК СУМРАЧ.,ВУРУКАШ,СОН НИМФЫ,ЦВЕТОК РАЯ,ХРОНИКИ ПУСТ.,ПОЗОЛОЧ. СНЫ,ДРЕМУЧИЙ ЛЕС,ПОДНОШЕНИЕ,КИНОВАРА,МОЛЛЮСК,КОКОН,ЭМБ"&amp;"ЛЕМА,СИМЭНАВА,БЛЕДНЫЙ ОГОНЬ,МИЛЛЕЛИТ,СЕРДЦЕ ГЛУБИН,МЕТЕЛЬ,АРХАИЧНЫЙ,КОМЕТА,ЦЕРЕМОНИЯ,РЫЦАРЬ КРОВИ,АЛАЯ ВЕДЬМА,СТУП. ПО ЛАВЕ,РЁВ ЯРОСТИ,ГРОМ,ТЕНЬ,ДЕВА,ГЛАДИАТОР,АНСАМБЛЬ"</formula1>
    </dataValidation>
    <dataValidation type="list" allowBlank="1" showErrorMessage="1" sqref="B117">
      <formula1>"РАССЕИВАНИЕ 2,РАССЕИВ. + С6"</formula1>
    </dataValidation>
    <dataValidation type="list" allowBlank="1" showErrorMessage="1" sqref="B107">
      <formula1>"БУТОН,БУТОН+С2(НАХ),БУТОН+А1(ЛАУ),БУТОН+С2+А1"</formula1>
    </dataValidation>
    <dataValidation type="list" allowBlank="1" showErrorMessage="1" sqref="R82">
      <formula1>"ШАБАШ,НЕ ШАБАШ,НЕ АКТИВ"</formula1>
    </dataValidation>
    <dataValidation type="list" allowBlank="1" showErrorMessage="1" sqref="S98:S124">
      <formula1>"ЕШКА,УЛЬТА,ОБ. УДАРЫ,ЗАР. УДАРЫ,ПРЫЖКИ,УНИК. УДАР"</formula1>
    </dataValidation>
    <dataValidation type="list" allowBlank="1" showErrorMessage="1" sqref="N126:N127">
      <formula1>"КРИО,ПИРО,ЭЛЕКТРО,ГИДРО,АНЕМО,ГЕО,ДЕНДРО,ФИЗУХА,НЕТ"</formula1>
    </dataValidation>
    <dataValidation type="list" allowBlank="1" showErrorMessage="1" sqref="M125:M128">
      <formula1>"СА,ХП,ЗЩ,МС"</formula1>
    </dataValidation>
    <dataValidation type="list" allowBlank="1" showErrorMessage="1" sqref="R6">
      <formula1>"КУ%,ШК%,СА%,ХП%,ЗЩ%,ВЭ%,МС,ФИЗ%"</formula1>
    </dataValidation>
    <dataValidation type="list" allowBlank="1" sqref="R2">
      <formula1>"НЕБЕСНОЕ ВЕЛИЧИЕ,ВОЛЧЬЯ ПОГИБЕЛЬ,ПЕСНЬ СОСЕН,НЕКОВАНЫЙ,КАМНЕРУБ,МАЯК МОРЯ,ВЕРДИКТ,КЛЫК КОРОЛЯ,ТЫСЯЧА СОЛНЦ,ФАВОНИЙ ДВУРУК,МЕЧ КОЛОКОЛ,ЦЕРЕМОН. ДВУРУК,КОРОЛЕВ. ДВУРУК,ДОЖДЕРЕЗ,АРХАИЧНЫЙ,БЕЛАЯ ТЕНЬ,ЧЕРНОГОР ДВУРУК,ДРАКОНЬЯ КОСТЬ,КАМЕННЫЙ,СЕРЕБРО,ВЛАДЫКА,НАГ"&amp;"АМАСА,АКВАМАРИН,АКУОМАРУ,РЕГАЛИЯ ЛЕСА,ЦВЕТОК,ПАЛИЦА,ТЕНЬ ВОЛНЫ,СУПЕР МЕЧ,МОТОПИЛА,ПЛОДОТВОРНЫЙ,СОТРЯСАЮЩИЙ,ОЗАРЕНИЕ,МАСТЕР КЛЮЧ"</formula1>
    </dataValidation>
    <dataValidation type="list" allowBlank="1" showErrorMessage="1" sqref="T126:T128">
      <formula1>"10 ЛВЛ,13 ЛВЛ"</formula1>
    </dataValidation>
    <dataValidation type="list" allowBlank="1" showErrorMessage="1" sqref="G6 D8 G10 G14">
      <formula1>"ДВУРУК,ОДНОРУК,СТРЕЛОК,КАТАЛИК,КОПЕЙЩИК"</formula1>
    </dataValidation>
    <dataValidation type="list" allowBlank="1" showErrorMessage="1" sqref="S43">
      <formula1>"СА%,ХП%,ЗЩ%,МС,ВЭ%,НЕТ"</formula1>
    </dataValidation>
    <dataValidation type="list" allowBlank="1" showErrorMessage="1" sqref="C18">
      <formula1>"ПИРО ПЕРС,КРИО ПЕРС,ЭЛЕК. ПЕРС,ГИДРО ПЕРС,АНЕМО ПЕРС,ДЕНД. ПЕРС,ГЕО ПЕРС"</formula1>
    </dataValidation>
    <dataValidation type="list" allowBlank="1" sqref="G8">
      <formula1>"БАЙ ЧЖУ,ЛАУМА,НАХИДА,НЕФЕР"</formula1>
    </dataValidation>
    <dataValidation type="list" allowBlank="1" showErrorMessage="1" sqref="M98:M124">
      <formula1>"СА,СА+ХП,СА+МС,СА+ЗЩ,ХП,ЗЩ"</formula1>
    </dataValidation>
    <dataValidation type="list" allowBlank="1" showErrorMessage="1" sqref="T98:T124">
      <formula1>"1 ЛВЛ,6 ЛВЛ,9 ЛВЛ,10 ЛВЛ,11 ЛВЛ,12 ЛВЛ,13 ЛВЛ,14 ЛВЛ"</formula1>
    </dataValidation>
    <dataValidation type="list" allowBlank="1" showErrorMessage="1" sqref="D17">
      <formula1>"20 МС,30 МС,50 МС,НЕТ"</formula1>
    </dataValidation>
    <dataValidation type="list" allowBlank="1" showErrorMessage="1" sqref="S49">
      <formula1>"КУ%,ШК%,СА%,ХП%,ЗЩ%,МС,БОНУС ЛЕЧЕНИЕ,НЕТ"</formula1>
    </dataValidation>
    <dataValidation type="list" allowBlank="1" showErrorMessage="1" sqref="T74">
      <formula1>"НАТЛАН,НЕ НАТЛАН,НЕ АКТИВ"</formula1>
    </dataValidation>
    <dataValidation type="list" allowBlank="1" showErrorMessage="1" sqref="H116:H117">
      <formula1>"🔥ПИРО,💧ГИДРО,⚡️ЭЛЕКТРО,❄️КРИО"</formula1>
    </dataValidation>
    <dataValidation type="list" allowBlank="1" showErrorMessage="1" sqref="S38">
      <formula1>"ПИРО,ГИДРО,ЭЛЕКТРО,КРИО,ГЕО,АНЕМО,ДЕНДРО,НЕТ"</formula1>
    </dataValidation>
    <dataValidation type="list" allowBlank="1" showErrorMessage="1" sqref="S46">
      <formula1>"АФ.КРИО%,АФ.ПИРО%,АФ.ГИДРО%,АФ.ЭЛЕКТРО%,АФ.ГЕО%,АФ.АНЕМО%,АФ.ДЕНДРО%,АФ.ФИЗ.%,СА%,ХП%,ЗЩ%,МС,НЕТ"</formula1>
    </dataValidation>
    <dataValidation type="list" allowBlank="1" sqref="D4">
      <formula1>"БЭЙ ДОУ,ДОРИ,РЭЙЗОР"</formula1>
    </dataValidation>
    <dataValidation type="list" allowBlank="1" sqref="T80 T82">
      <formula1>"2 НОДА,1 НОД,НЕ АКТИВ"</formula1>
    </dataValidation>
    <dataValidation type="list" allowBlank="1" showErrorMessage="1" sqref="B108">
      <formula1>"ВЕГЕТАЦИЯ,ВЕГЕТАЦИЯ+С2,ВЕГЕТАЦИЯ+А1,ВЕГЕТ.+С2+А1"</formula1>
    </dataValidation>
    <dataValidation type="list" allowBlank="1" showErrorMessage="1" sqref="B109">
      <formula1>"ЦВЕТЕНИЕ,ЦВЕТЕНИЕ+С2,ЦВЕТЕНИЕ+А1,ЦВЕТ.+С2+А1"</formula1>
    </dataValidation>
    <dataValidation type="list" allowBlank="1" showErrorMessage="1" sqref="J19:J46">
      <formula1>"ПАР,ОБ.ПАР,ТАЯНИЕ,ОБ.ТАЯНИЕ,РАЗРАСТ.,ОБОСТР.,НЕТ"</formula1>
    </dataValidation>
    <dataValidation type="list" allowBlank="1" showErrorMessage="1" sqref="T4">
      <formula1>"РП1,РП2,РП3,РП4,РП5"</formula1>
    </dataValidation>
    <dataValidation type="list" allowBlank="1" showErrorMessage="1" sqref="B116">
      <formula1>"РАССЕИВАНИЕ 1,РАССЕИВ. + С6"</formula1>
    </dataValidation>
    <dataValidation type="list" allowBlank="1" sqref="G12">
      <formula1>"ГИДРО ГГ,АЯТО,ДАЛИЯ,НИЛУ,СИН ЦЮ,ФУРИНА"</formula1>
    </dataValidation>
    <dataValidation type="list" allowBlank="1" showErrorMessage="1" sqref="S35">
      <formula1>"НЕТ,1,2,3,4,5"</formula1>
    </dataValidation>
    <dataValidation type="list" allowBlank="1" showErrorMessage="1" sqref="S11 S13 S15">
      <formula1>"НЕТ,1,2,3,4,5,6"</formula1>
    </dataValidation>
    <dataValidation type="list" allowBlank="1" showErrorMessage="1" sqref="B23">
      <formula1>"УРОВЕНЬ 100,УРОВЕНЬ 95,УРОВЕНЬ 90,УРОВЕНЬ 80"</formula1>
    </dataValidation>
    <dataValidation type="list" allowBlank="1" showErrorMessage="1" sqref="I2">
      <formula1>"ОТРЯД 1,ОТРЯД 2,ОТРЯД 3"</formula1>
    </dataValidation>
    <dataValidation type="list" allowBlank="1" sqref="G4">
      <formula1>"ОРОРОН,САРА,СЕТОС,ФИШЛЬ"</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B7B7"/>
    <outlinePr summaryBelow="0" summaryRight="0"/>
  </sheetPr>
  <sheetViews>
    <sheetView workbookViewId="0"/>
  </sheetViews>
  <sheetFormatPr customHeight="1" defaultColWidth="12.63" defaultRowHeight="15.75"/>
  <cols>
    <col customWidth="1" min="1" max="1" width="7.0"/>
    <col customWidth="1" min="2" max="20" width="14.25"/>
    <col customWidth="1" min="21" max="21" width="7.0"/>
  </cols>
  <sheetData>
    <row r="1" ht="19.5" customHeight="1">
      <c r="A1" s="471" t="str">
        <f>IF(A2=true,"CALC","OFFCALC")</f>
        <v>CALC</v>
      </c>
      <c r="B1" s="472"/>
      <c r="U1" s="473"/>
    </row>
    <row r="2" ht="19.5" customHeight="1">
      <c r="A2" s="474" t="b">
        <v>1</v>
      </c>
      <c r="B2" s="475" t="s">
        <v>1867</v>
      </c>
      <c r="C2" s="476"/>
      <c r="D2" s="476"/>
      <c r="E2" s="477"/>
      <c r="F2" s="478" t="s">
        <v>1868</v>
      </c>
      <c r="G2" s="477"/>
      <c r="H2" s="479" t="s">
        <v>571</v>
      </c>
      <c r="I2" s="473"/>
      <c r="J2" s="473"/>
      <c r="K2" s="473"/>
      <c r="L2" s="473"/>
      <c r="M2" s="473"/>
      <c r="N2" s="473"/>
      <c r="O2" s="473"/>
      <c r="P2" s="473"/>
      <c r="Q2" s="481" t="s">
        <v>1870</v>
      </c>
      <c r="R2" s="482" t="s">
        <v>2238</v>
      </c>
      <c r="S2" s="483"/>
      <c r="T2" s="484"/>
    </row>
    <row r="3" ht="19.5" customHeight="1">
      <c r="A3" s="485"/>
      <c r="B3" s="486"/>
      <c r="C3" s="486"/>
      <c r="D3" s="486"/>
      <c r="E3" s="487"/>
      <c r="F3" s="488"/>
      <c r="G3" s="487"/>
      <c r="H3" s="489"/>
      <c r="I3" s="473"/>
      <c r="J3" s="473"/>
      <c r="K3" s="491" t="s">
        <v>1872</v>
      </c>
      <c r="L3" s="492"/>
      <c r="M3" s="492"/>
      <c r="N3" s="492"/>
      <c r="O3" s="493"/>
      <c r="P3" s="473"/>
      <c r="Q3" s="494"/>
      <c r="R3" s="495"/>
      <c r="S3" s="495"/>
      <c r="T3" s="496"/>
    </row>
    <row r="4" ht="19.5" customHeight="1">
      <c r="A4" s="471"/>
      <c r="B4" s="497" t="str">
        <f>IMAGE("https://drive.google.com/uc?id=1z6PnKzBbKWvO7BLArEjfqTjXQRhCklbB")</f>
        <v/>
      </c>
      <c r="C4" s="477"/>
      <c r="D4" s="498" t="s">
        <v>2239</v>
      </c>
      <c r="E4" s="477"/>
      <c r="F4" s="499" t="str">
        <f>IMAGE("https://drive.google.com/uc?id=1HReNDIbrb8QmZQUGzbQIltySM2dAi2hX")</f>
        <v/>
      </c>
      <c r="G4" s="500" t="s">
        <v>1887</v>
      </c>
      <c r="H4" s="501">
        <v>500000.0</v>
      </c>
      <c r="I4" s="473"/>
      <c r="J4" s="473"/>
      <c r="K4" s="502"/>
      <c r="L4" s="503"/>
      <c r="M4" s="503"/>
      <c r="N4" s="503"/>
      <c r="O4" s="504"/>
      <c r="P4" s="473"/>
      <c r="Q4" s="505" t="s">
        <v>1875</v>
      </c>
      <c r="R4" s="506"/>
      <c r="S4" s="507">
        <v>674.0</v>
      </c>
      <c r="T4" s="508" t="s">
        <v>1876</v>
      </c>
    </row>
    <row r="5" ht="19.5" customHeight="1">
      <c r="B5" s="509"/>
      <c r="C5" s="510"/>
      <c r="D5" s="511"/>
      <c r="E5" s="512"/>
      <c r="F5" s="513"/>
      <c r="G5" s="514" t="s">
        <v>1877</v>
      </c>
      <c r="H5" s="515"/>
      <c r="I5" s="473"/>
      <c r="J5" s="473"/>
      <c r="K5" s="516" t="s">
        <v>1878</v>
      </c>
      <c r="L5" s="492"/>
      <c r="M5" s="517" t="str">
        <f>D4</f>
        <v>КЛИ</v>
      </c>
      <c r="N5" s="518">
        <f>SUM(O8:O15)</f>
        <v>439098</v>
      </c>
      <c r="O5" s="519"/>
      <c r="P5" s="473"/>
      <c r="Q5" s="520"/>
      <c r="R5" s="521"/>
      <c r="S5" s="522"/>
      <c r="T5" s="523"/>
    </row>
    <row r="6" ht="19.5" customHeight="1">
      <c r="B6" s="509"/>
      <c r="C6" s="510"/>
      <c r="D6" s="524" t="s">
        <v>1905</v>
      </c>
      <c r="E6" s="525"/>
      <c r="F6" s="513"/>
      <c r="G6" s="526" t="s">
        <v>1894</v>
      </c>
      <c r="H6" s="515"/>
      <c r="I6" s="473"/>
      <c r="J6" s="473"/>
      <c r="K6" s="502"/>
      <c r="L6" s="503"/>
      <c r="M6" s="504"/>
      <c r="N6" s="527"/>
      <c r="O6" s="528"/>
      <c r="P6" s="473"/>
      <c r="Q6" s="529" t="s">
        <v>1880</v>
      </c>
      <c r="R6" s="530" t="s">
        <v>1998</v>
      </c>
      <c r="S6" s="531">
        <v>22.1</v>
      </c>
      <c r="T6" s="494"/>
    </row>
    <row r="7" ht="19.5" customHeight="1">
      <c r="B7" s="509"/>
      <c r="C7" s="510"/>
      <c r="D7" s="511"/>
      <c r="E7" s="512"/>
      <c r="F7" s="532"/>
      <c r="G7" s="533"/>
      <c r="H7" s="515"/>
      <c r="I7" s="473"/>
      <c r="L7" s="534" t="s">
        <v>1882</v>
      </c>
      <c r="M7" s="521"/>
      <c r="N7" s="535" t="s">
        <v>1883</v>
      </c>
      <c r="O7" s="536" t="s">
        <v>571</v>
      </c>
      <c r="P7" s="473"/>
      <c r="Q7" s="537" t="s">
        <v>1884</v>
      </c>
      <c r="R7" s="538">
        <v>16.0</v>
      </c>
      <c r="S7" s="539" t="s">
        <v>1885</v>
      </c>
      <c r="T7" s="540"/>
    </row>
    <row r="8" ht="19.5" customHeight="1">
      <c r="B8" s="509"/>
      <c r="C8" s="510"/>
      <c r="D8" s="541" t="s">
        <v>2179</v>
      </c>
      <c r="E8" s="525"/>
      <c r="F8" s="542" t="str">
        <f>IMAGE("https://drive.google.com/uc?id=1j2Vtuhoe3yQhQDLYlyvkOS2E1WH1-UEq")</f>
        <v/>
      </c>
      <c r="G8" s="500" t="s">
        <v>2009</v>
      </c>
      <c r="H8" s="501">
        <v>500000.0</v>
      </c>
      <c r="L8" s="543" t="s">
        <v>1888</v>
      </c>
      <c r="M8" s="544"/>
      <c r="N8" s="545">
        <f>IFERROR(O8/N5,"-")</f>
        <v>0.3100833982</v>
      </c>
      <c r="O8" s="546">
        <f>SUMIF(S98:S124, "ОБ. УДАРЫ", M19:M45)</f>
        <v>136157</v>
      </c>
      <c r="P8" s="473"/>
      <c r="Q8" s="547" t="s">
        <v>1889</v>
      </c>
      <c r="R8" s="548"/>
      <c r="S8" s="549" t="s">
        <v>1890</v>
      </c>
      <c r="T8" s="550"/>
    </row>
    <row r="9" ht="19.5" customHeight="1">
      <c r="B9" s="509"/>
      <c r="C9" s="510"/>
      <c r="D9" s="488"/>
      <c r="E9" s="487"/>
      <c r="F9" s="513"/>
      <c r="G9" s="514" t="s">
        <v>2181</v>
      </c>
      <c r="H9" s="515"/>
      <c r="L9" s="551" t="s">
        <v>1891</v>
      </c>
      <c r="M9" s="544"/>
      <c r="N9" s="552">
        <f>IFERROR(O9/N5,"-")</f>
        <v>0.411489007</v>
      </c>
      <c r="O9" s="553">
        <f>SUMIF(S98:S124, "ЗАР. УДАРЫ", M19:M45)</f>
        <v>180684</v>
      </c>
      <c r="P9" s="473"/>
      <c r="Q9" s="537" t="s">
        <v>1892</v>
      </c>
      <c r="R9" s="538"/>
      <c r="S9" s="539" t="s">
        <v>1893</v>
      </c>
      <c r="T9" s="540"/>
    </row>
    <row r="10" ht="19.5" customHeight="1">
      <c r="B10" s="509"/>
      <c r="C10" s="510"/>
      <c r="D10" s="554"/>
      <c r="E10" s="554"/>
      <c r="F10" s="513"/>
      <c r="G10" s="526" t="s">
        <v>1894</v>
      </c>
      <c r="H10" s="515"/>
      <c r="L10" s="543" t="s">
        <v>1895</v>
      </c>
      <c r="M10" s="544"/>
      <c r="N10" s="545">
        <f>IFERROR(O10/N5,"-")</f>
        <v>0</v>
      </c>
      <c r="O10" s="546">
        <f>SUMIF(S98:S124, "ПРЫЖКИ", M19:M45)</f>
        <v>0</v>
      </c>
      <c r="P10" s="473"/>
      <c r="Q10" s="555" t="s">
        <v>1896</v>
      </c>
      <c r="R10" s="556"/>
      <c r="S10" s="557" t="s">
        <v>1897</v>
      </c>
      <c r="T10" s="558"/>
    </row>
    <row r="11" ht="19.5" customHeight="1">
      <c r="B11" s="488"/>
      <c r="C11" s="487"/>
      <c r="D11" s="554"/>
      <c r="E11" s="554"/>
      <c r="F11" s="532"/>
      <c r="G11" s="533"/>
      <c r="H11" s="515"/>
      <c r="L11" s="551" t="s">
        <v>1898</v>
      </c>
      <c r="M11" s="544"/>
      <c r="N11" s="552">
        <f>IFERROR(O11/N5,"-")</f>
        <v>0.1174430309</v>
      </c>
      <c r="O11" s="553">
        <f>SUMIF(S98:S124, "ЕШКА", M19:M45)</f>
        <v>51569</v>
      </c>
      <c r="P11" s="473"/>
      <c r="Q11" s="537" t="s">
        <v>1899</v>
      </c>
      <c r="R11" s="559"/>
      <c r="S11" s="560">
        <v>6.0</v>
      </c>
      <c r="T11" s="561" t="b">
        <v>1</v>
      </c>
    </row>
    <row r="12" ht="19.5" customHeight="1">
      <c r="B12" s="562" t="s">
        <v>1900</v>
      </c>
      <c r="C12" s="563"/>
      <c r="D12" s="564"/>
      <c r="E12" s="554"/>
      <c r="F12" s="542" t="str">
        <f>IMAGE("https://drive.google.com/uc?id=1eiWQtqprMcPuJ_f2vsXz8LxbnvzENB20")</f>
        <v/>
      </c>
      <c r="G12" s="500" t="s">
        <v>2039</v>
      </c>
      <c r="H12" s="501">
        <v>11000.0</v>
      </c>
      <c r="L12" s="543" t="s">
        <v>1902</v>
      </c>
      <c r="M12" s="544"/>
      <c r="N12" s="545">
        <f>IFERROR(O12/N5,"-")</f>
        <v>0.1609845638</v>
      </c>
      <c r="O12" s="546">
        <f>SUMIF(S98:S124, "УЛЬТА", M19:M45)</f>
        <v>70688</v>
      </c>
      <c r="P12" s="473"/>
      <c r="Q12" s="547" t="s">
        <v>1903</v>
      </c>
      <c r="R12" s="565"/>
      <c r="S12" s="566"/>
      <c r="T12" s="567"/>
    </row>
    <row r="13" ht="19.5" customHeight="1">
      <c r="B13" s="568" t="s">
        <v>1904</v>
      </c>
      <c r="C13" s="569" t="b">
        <v>0</v>
      </c>
      <c r="D13" s="570"/>
      <c r="E13" s="554"/>
      <c r="F13" s="513"/>
      <c r="G13" s="514" t="s">
        <v>2181</v>
      </c>
      <c r="H13" s="515"/>
      <c r="L13" s="551" t="s">
        <v>1906</v>
      </c>
      <c r="M13" s="544"/>
      <c r="N13" s="552">
        <f>IFERROR(O13/N5,"-")</f>
        <v>0</v>
      </c>
      <c r="O13" s="553">
        <f>SUMIF(S98:S124, "УНИК. УДАР", M19:M45)</f>
        <v>0</v>
      </c>
      <c r="P13" s="473"/>
      <c r="Q13" s="537" t="s">
        <v>1907</v>
      </c>
      <c r="R13" s="559">
        <f>MIN(16*IF(S11="НЕТ",0,S11),48)</f>
        <v>48</v>
      </c>
      <c r="S13" s="571">
        <v>6.0</v>
      </c>
      <c r="T13" s="567"/>
    </row>
    <row r="14" ht="19.5" customHeight="1">
      <c r="B14" s="572" t="s">
        <v>1908</v>
      </c>
      <c r="C14" s="573" t="b">
        <v>1</v>
      </c>
      <c r="D14" s="570"/>
      <c r="E14" s="554"/>
      <c r="F14" s="513"/>
      <c r="G14" s="526" t="s">
        <v>1879</v>
      </c>
      <c r="H14" s="515"/>
      <c r="L14" s="543" t="s">
        <v>1909</v>
      </c>
      <c r="M14" s="544"/>
      <c r="N14" s="545">
        <f>IFERROR(O14/N5,"-")</f>
        <v>0</v>
      </c>
      <c r="O14" s="546">
        <f>SUM(M51:M65)</f>
        <v>0</v>
      </c>
      <c r="P14" s="473"/>
      <c r="Q14" s="547" t="s">
        <v>1910</v>
      </c>
      <c r="R14" s="565">
        <f>MIN(14*IF(S11="НЕТ",0,S13),42)</f>
        <v>42</v>
      </c>
      <c r="S14" s="566"/>
      <c r="T14" s="574" t="b">
        <v>1</v>
      </c>
    </row>
    <row r="15" ht="19.5" customHeight="1">
      <c r="B15" s="575" t="s">
        <v>1911</v>
      </c>
      <c r="C15" s="576" t="b">
        <v>0</v>
      </c>
      <c r="D15" s="577"/>
      <c r="E15" s="554"/>
      <c r="F15" s="578"/>
      <c r="G15" s="473"/>
      <c r="H15" s="473"/>
      <c r="L15" s="551" t="s">
        <v>1912</v>
      </c>
      <c r="M15" s="544"/>
      <c r="N15" s="579">
        <f>IFERROR(O15/N5,"-")</f>
        <v>0</v>
      </c>
      <c r="O15" s="580">
        <f>SUM(M46)</f>
        <v>0</v>
      </c>
      <c r="P15" s="473"/>
      <c r="Q15" s="537" t="s">
        <v>1913</v>
      </c>
      <c r="R15" s="559"/>
      <c r="S15" s="571">
        <v>6.0</v>
      </c>
      <c r="T15" s="567"/>
    </row>
    <row r="16" ht="19.5" customHeight="1">
      <c r="B16" s="572" t="s">
        <v>1914</v>
      </c>
      <c r="C16" s="573" t="b">
        <v>0</v>
      </c>
      <c r="D16" s="581" t="b">
        <v>0</v>
      </c>
      <c r="E16" s="554"/>
      <c r="F16" s="473"/>
      <c r="G16" s="473"/>
      <c r="H16" s="582" t="s">
        <v>1915</v>
      </c>
      <c r="I16" s="583"/>
      <c r="J16" s="583"/>
      <c r="K16" s="583"/>
      <c r="L16" s="583"/>
      <c r="M16" s="584"/>
      <c r="N16" s="585" t="s">
        <v>572</v>
      </c>
      <c r="O16" s="586"/>
      <c r="P16" s="473"/>
      <c r="Q16" s="587" t="s">
        <v>1916</v>
      </c>
      <c r="R16" s="588"/>
      <c r="S16" s="589"/>
      <c r="T16" s="496"/>
    </row>
    <row r="17" ht="19.5" customHeight="1">
      <c r="B17" s="590" t="s">
        <v>1917</v>
      </c>
      <c r="C17" s="591" t="b">
        <v>0</v>
      </c>
      <c r="D17" s="592" t="s">
        <v>1918</v>
      </c>
      <c r="E17" s="554"/>
      <c r="F17" s="554"/>
      <c r="G17" s="473"/>
      <c r="H17" s="593"/>
      <c r="I17" s="594"/>
      <c r="J17" s="594"/>
      <c r="K17" s="594"/>
      <c r="L17" s="594"/>
      <c r="M17" s="595"/>
      <c r="N17" s="596" t="s">
        <v>1919</v>
      </c>
      <c r="O17" s="597">
        <f t="shared" ref="O17:O19" si="1">L126</f>
        <v>0</v>
      </c>
      <c r="P17" s="473"/>
      <c r="Q17" s="537" t="s">
        <v>1920</v>
      </c>
      <c r="R17" s="598"/>
      <c r="S17" s="599" t="s">
        <v>1921</v>
      </c>
      <c r="T17" s="600"/>
    </row>
    <row r="18" ht="19.5" customHeight="1">
      <c r="B18" s="601" t="s">
        <v>1922</v>
      </c>
      <c r="C18" s="602" t="s">
        <v>1923</v>
      </c>
      <c r="D18" s="603" t="s">
        <v>1924</v>
      </c>
      <c r="E18" s="554"/>
      <c r="F18" s="554"/>
      <c r="G18" s="473"/>
      <c r="H18" s="604" t="s">
        <v>1925</v>
      </c>
      <c r="I18" s="605" t="s">
        <v>1926</v>
      </c>
      <c r="J18" s="606" t="s">
        <v>78</v>
      </c>
      <c r="K18" s="607" t="s">
        <v>1927</v>
      </c>
      <c r="L18" s="606" t="s">
        <v>1928</v>
      </c>
      <c r="M18" s="608" t="s">
        <v>1929</v>
      </c>
      <c r="N18" s="573" t="s">
        <v>1919</v>
      </c>
      <c r="O18" s="609">
        <f t="shared" si="1"/>
        <v>0</v>
      </c>
      <c r="P18" s="473"/>
      <c r="Q18" s="610" t="s">
        <v>1930</v>
      </c>
      <c r="R18" s="254"/>
      <c r="S18" s="611" t="s">
        <v>1931</v>
      </c>
      <c r="T18" s="612"/>
    </row>
    <row r="19" ht="19.5" customHeight="1">
      <c r="B19" s="613"/>
      <c r="C19" s="486"/>
      <c r="D19" s="614"/>
      <c r="E19" s="554"/>
      <c r="F19" s="554"/>
      <c r="G19" s="473"/>
      <c r="H19" s="615" t="str">
        <f t="shared" ref="H19:H45" si="2">S98</f>
        <v>ОБ. УДАРЫ</v>
      </c>
      <c r="I19" s="616">
        <f t="shared" ref="I19:I45" si="3">L98</f>
        <v>8650</v>
      </c>
      <c r="J19" s="617" t="s">
        <v>2240</v>
      </c>
      <c r="K19" s="618">
        <v>4.0</v>
      </c>
      <c r="L19" s="619" t="b">
        <v>0</v>
      </c>
      <c r="M19" s="620">
        <f t="array" ref="M19">ROUND((CHOOSE(MATCH(LOWER(TRIM(J19)),{"ПАР";"ОБ.ПАР";"ТАЯНИЕ";"ОБ.ТАЯНИЕ";"ОБОСТР.";"РАЗРАСТ.";"НЕТ"}, 0), G98,G99,G100,G101,100%,100%,100%)*L98)*K19,0)</f>
        <v>58820</v>
      </c>
      <c r="N19" s="621" t="s">
        <v>1932</v>
      </c>
      <c r="O19" s="622">
        <f t="shared" si="1"/>
        <v>0</v>
      </c>
      <c r="P19" s="473"/>
      <c r="Q19" s="623" t="s">
        <v>1933</v>
      </c>
      <c r="R19" s="624"/>
      <c r="S19" s="625" t="s">
        <v>1934</v>
      </c>
      <c r="T19" s="626"/>
    </row>
    <row r="20" ht="19.5" customHeight="1">
      <c r="B20" s="473"/>
      <c r="C20" s="473"/>
      <c r="D20" s="473"/>
      <c r="E20" s="473"/>
      <c r="F20" s="473"/>
      <c r="G20" s="473"/>
      <c r="H20" s="627" t="str">
        <f t="shared" si="2"/>
        <v>ОБ. УДАРЫ</v>
      </c>
      <c r="I20" s="628">
        <f t="shared" si="3"/>
        <v>7453</v>
      </c>
      <c r="J20" s="629" t="s">
        <v>1918</v>
      </c>
      <c r="K20" s="630">
        <v>3.0</v>
      </c>
      <c r="L20" s="631" t="b">
        <v>0</v>
      </c>
      <c r="M20" s="632">
        <f t="array" ref="M20">ROUND((CHOOSE(MATCH(LOWER(TRIM(J20)),{"ПАР";"ОБ.ПАР";"ТАЯНИЕ";"ОБ.ТАЯНИЕ";"ОБОСТР.";"РАЗРАСТ.";"НЕТ"}, 0), G98,G99,G100,G101,100%,100%,100%)*I20)*K20,0)</f>
        <v>22359</v>
      </c>
      <c r="N20" s="473"/>
      <c r="O20" s="473"/>
      <c r="P20" s="473"/>
      <c r="Q20" s="587" t="s">
        <v>1935</v>
      </c>
      <c r="R20" s="633"/>
      <c r="S20" s="634" t="s">
        <v>1936</v>
      </c>
      <c r="T20" s="612"/>
    </row>
    <row r="21" ht="19.5" customHeight="1">
      <c r="B21" s="635" t="s">
        <v>1937</v>
      </c>
      <c r="C21" s="636"/>
      <c r="D21" s="636"/>
      <c r="E21" s="637"/>
      <c r="F21" s="473"/>
      <c r="G21" s="473"/>
      <c r="H21" s="627" t="str">
        <f t="shared" si="2"/>
        <v>ОБ. УДАРЫ</v>
      </c>
      <c r="I21" s="616">
        <f t="shared" si="3"/>
        <v>10780</v>
      </c>
      <c r="J21" s="638" t="s">
        <v>2240</v>
      </c>
      <c r="K21" s="639">
        <v>3.0</v>
      </c>
      <c r="L21" s="640" t="b">
        <v>0</v>
      </c>
      <c r="M21" s="641">
        <f t="array" ref="M21">ROUND((CHOOSE(MATCH(LOWER(TRIM(J21)),{"ПАР";"ОБ.ПАР";"ТАЯНИЕ";"ОБ.ТАЯНИЕ";"ОБОСТР.";"РАЗРАСТ.";"НЕТ"}, 0), G98,G99,G100,G101,100%,100%,100%)*I21)*K21,0)</f>
        <v>54978</v>
      </c>
      <c r="N21" s="473"/>
      <c r="O21" s="642" t="s">
        <v>1938</v>
      </c>
      <c r="P21" s="643"/>
      <c r="Q21" s="644" t="s">
        <v>1939</v>
      </c>
      <c r="R21" s="645"/>
      <c r="S21" s="646" t="s">
        <v>1940</v>
      </c>
      <c r="T21" s="626"/>
    </row>
    <row r="22" ht="19.5" customHeight="1">
      <c r="B22" s="647"/>
      <c r="C22" s="648"/>
      <c r="D22" s="648"/>
      <c r="E22" s="649"/>
      <c r="F22" s="473"/>
      <c r="G22" s="473"/>
      <c r="H22" s="627" t="str">
        <f t="shared" si="2"/>
        <v>УЛЬТА</v>
      </c>
      <c r="I22" s="628">
        <f t="shared" si="3"/>
        <v>0</v>
      </c>
      <c r="J22" s="629" t="s">
        <v>1918</v>
      </c>
      <c r="K22" s="630"/>
      <c r="L22" s="631" t="b">
        <v>0</v>
      </c>
      <c r="M22" s="632">
        <f t="array" ref="M22">ROUND((CHOOSE(MATCH(LOWER(TRIM(J22)),{"ПАР";"ОБ.ПАР";"ТАЯНИЕ";"ОБ.ТАЯНИЕ";"ОБОСТР.";"РАЗРАСТ.";"НЕТ"}, 0), G98,G99,G100,G101,100%,100%,100%)*I22)*K22,0)</f>
        <v>0</v>
      </c>
      <c r="N22" s="473"/>
      <c r="O22" s="650" t="s">
        <v>1941</v>
      </c>
      <c r="P22" s="651"/>
      <c r="Q22" s="652" t="s">
        <v>1942</v>
      </c>
      <c r="R22" s="156"/>
      <c r="S22" s="653" t="s">
        <v>1943</v>
      </c>
      <c r="T22" s="654"/>
    </row>
    <row r="23" ht="19.5" customHeight="1">
      <c r="B23" s="655" t="s">
        <v>1944</v>
      </c>
      <c r="C23" s="544"/>
      <c r="D23" s="656">
        <f t="array" ref="D23">CHOOSE(MATCH(LOWER(TRIM(B23)),{"УРОВЕНЬ 90";"УРОВЕНЬ 80";"УРОВЕНЬ 95";"УРОВЕНЬ 100"}, 0), 90,80,95,100)</f>
        <v>90</v>
      </c>
      <c r="E23" s="657"/>
      <c r="F23" s="473"/>
      <c r="G23" s="473"/>
      <c r="H23" s="627" t="str">
        <f t="shared" si="2"/>
        <v>ЗАР. УДАРЫ</v>
      </c>
      <c r="I23" s="616">
        <f t="shared" si="3"/>
        <v>33460</v>
      </c>
      <c r="J23" s="638" t="s">
        <v>2240</v>
      </c>
      <c r="K23" s="639">
        <v>2.0</v>
      </c>
      <c r="L23" s="640" t="b">
        <v>0</v>
      </c>
      <c r="M23" s="641">
        <f t="array" ref="M23">ROUND((CHOOSE(MATCH(LOWER(TRIM(J23)),{"ПАР";"ОБ.ПАР";"ТАЯНИЕ";"ОБ.ТАЯНИЕ";"ОБОСТР.";"РАЗРАСТ.";"НЕТ"}, 0), G98,G99,G100,G101,100%,100%,100%)*I23)*K23,0)</f>
        <v>113764</v>
      </c>
      <c r="N23" s="473"/>
      <c r="O23" s="658" t="s">
        <v>1945</v>
      </c>
      <c r="P23" s="659"/>
      <c r="Q23" s="644" t="s">
        <v>1946</v>
      </c>
      <c r="R23" s="660"/>
      <c r="S23" s="473"/>
      <c r="T23" s="473"/>
    </row>
    <row r="24" ht="19.5" customHeight="1">
      <c r="B24" s="661"/>
      <c r="C24" s="521"/>
      <c r="D24" s="662"/>
      <c r="E24" s="663"/>
      <c r="F24" s="473"/>
      <c r="G24" s="473"/>
      <c r="H24" s="627" t="str">
        <f t="shared" si="2"/>
        <v>ЗАР. УДАРЫ</v>
      </c>
      <c r="I24" s="628">
        <f t="shared" si="3"/>
        <v>33460</v>
      </c>
      <c r="J24" s="629" t="s">
        <v>1918</v>
      </c>
      <c r="K24" s="630">
        <v>2.0</v>
      </c>
      <c r="L24" s="631" t="b">
        <v>0</v>
      </c>
      <c r="M24" s="632">
        <f t="array" ref="M24">ROUND((CHOOSE(MATCH(LOWER(TRIM(J24)),{"ПАР";"ОБ.ПАР";"ТАЯНИЕ";"ОБ.ТАЯНИЕ";"ОБОСТР.";"РАЗРАСТ.";"НЕТ"}, 0), G98,G99,G100,G101,100%,100%,100%)*I24)*K24,0)</f>
        <v>66920</v>
      </c>
      <c r="N24" s="473"/>
      <c r="O24" s="650" t="s">
        <v>1947</v>
      </c>
      <c r="P24" s="651"/>
      <c r="Q24" s="652" t="s">
        <v>1948</v>
      </c>
      <c r="R24" s="664"/>
      <c r="S24" s="473"/>
      <c r="T24" s="473"/>
    </row>
    <row r="25" ht="19.5" customHeight="1">
      <c r="B25" s="665" t="s">
        <v>1949</v>
      </c>
      <c r="C25" s="662"/>
      <c r="D25" s="666">
        <v>311.0</v>
      </c>
      <c r="E25" s="667"/>
      <c r="F25" s="473"/>
      <c r="G25" s="473"/>
      <c r="H25" s="627" t="str">
        <f t="shared" si="2"/>
        <v>УЛЬТА</v>
      </c>
      <c r="I25" s="616">
        <f t="shared" si="3"/>
        <v>0</v>
      </c>
      <c r="J25" s="638" t="s">
        <v>1918</v>
      </c>
      <c r="K25" s="639"/>
      <c r="L25" s="640" t="b">
        <v>0</v>
      </c>
      <c r="M25" s="641">
        <f t="array" ref="M25">ROUND((CHOOSE(MATCH(LOWER(TRIM(J25)),{"ПАР";"ОБ.ПАР";"ТАЯНИЕ";"ОБ.ТАЯНИЕ";"ОБОСТР.";"РАЗРАСТ.";"НЕТ"}, 0), G98,G99,G100,G101,100%,100%,100%)*I25)*K25,0)</f>
        <v>0</v>
      </c>
      <c r="N25" s="473"/>
      <c r="O25" s="668" t="s">
        <v>1950</v>
      </c>
      <c r="P25" s="669"/>
      <c r="Q25" s="670" t="s">
        <v>1951</v>
      </c>
      <c r="R25" s="671"/>
      <c r="S25" s="473"/>
      <c r="T25" s="473"/>
    </row>
    <row r="26" ht="19.5" customHeight="1">
      <c r="B26" s="672" t="s">
        <v>1952</v>
      </c>
      <c r="C26" s="673">
        <v>10287.0</v>
      </c>
      <c r="D26" s="674" t="s">
        <v>1953</v>
      </c>
      <c r="E26" s="675">
        <v>615.0</v>
      </c>
      <c r="F26" s="473"/>
      <c r="G26" s="473"/>
      <c r="H26" s="627" t="str">
        <f t="shared" si="2"/>
        <v>ЕШКА</v>
      </c>
      <c r="I26" s="628">
        <f t="shared" si="3"/>
        <v>8372</v>
      </c>
      <c r="J26" s="629" t="s">
        <v>2240</v>
      </c>
      <c r="K26" s="630">
        <v>2.0</v>
      </c>
      <c r="L26" s="631" t="b">
        <v>0</v>
      </c>
      <c r="M26" s="632">
        <f t="array" ref="M26">ROUND((CHOOSE(MATCH(LOWER(TRIM(J26)),{"ПАР";"ОБ.ПАР";"ТАЯНИЕ";"ОБ.ТАЯНИЕ";"ОБОСТР.";"РАЗРАСТ.";"НЕТ"}, 0), G98,G99,G100,G101,100%,100%,100%)*I26)*K26,0)</f>
        <v>28465</v>
      </c>
      <c r="N26" s="473"/>
      <c r="O26" s="473"/>
      <c r="P26" s="473"/>
      <c r="Q26" s="473"/>
      <c r="R26" s="473"/>
      <c r="S26" s="473"/>
      <c r="T26" s="473"/>
    </row>
    <row r="27" ht="19.5" customHeight="1">
      <c r="B27" s="676" t="s">
        <v>1954</v>
      </c>
      <c r="C27" s="677"/>
      <c r="D27" s="677"/>
      <c r="E27" s="678"/>
      <c r="F27" s="473"/>
      <c r="G27" s="473"/>
      <c r="H27" s="627" t="str">
        <f t="shared" si="2"/>
        <v>ЕШКА</v>
      </c>
      <c r="I27" s="616">
        <f t="shared" si="3"/>
        <v>2888</v>
      </c>
      <c r="J27" s="638" t="s">
        <v>1918</v>
      </c>
      <c r="K27" s="639">
        <v>8.0</v>
      </c>
      <c r="L27" s="640" t="b">
        <v>0</v>
      </c>
      <c r="M27" s="641">
        <f t="array" ref="M27">ROUND((CHOOSE(MATCH(LOWER(TRIM(J27)),{"ПАР";"ОБ.ПАР";"ТАЯНИЕ";"ОБ.ТАЯНИЕ";"ОБОСТР.";"РАЗРАСТ.";"НЕТ"}, 0), G98,G99,G100,G101,100%,100%,100%)*I27)*K27,0)</f>
        <v>23104</v>
      </c>
      <c r="N27" s="473"/>
      <c r="O27" s="679" t="s">
        <v>1955</v>
      </c>
      <c r="P27" s="680"/>
      <c r="Q27" s="681"/>
      <c r="R27" s="682" t="s">
        <v>2241</v>
      </c>
      <c r="S27" s="680"/>
      <c r="T27" s="681"/>
    </row>
    <row r="28" ht="19.5" customHeight="1">
      <c r="B28" s="683" t="s">
        <v>1956</v>
      </c>
      <c r="C28" s="684"/>
      <c r="D28" s="685" t="s">
        <v>1957</v>
      </c>
      <c r="E28" s="686">
        <v>28.8</v>
      </c>
      <c r="F28" s="473"/>
      <c r="G28" s="473"/>
      <c r="H28" s="627" t="str">
        <f t="shared" si="2"/>
        <v>УЛЬТА</v>
      </c>
      <c r="I28" s="628">
        <f t="shared" si="3"/>
        <v>0</v>
      </c>
      <c r="J28" s="629" t="s">
        <v>1918</v>
      </c>
      <c r="K28" s="630"/>
      <c r="L28" s="631" t="b">
        <v>0</v>
      </c>
      <c r="M28" s="632">
        <f t="array" ref="M28">ROUND((CHOOSE(MATCH(LOWER(TRIM(J28)),{"ПАР";"ОБ.ПАР";"ТАЯНИЕ";"ОБ.ТАЯНИЕ";"ОБОСТР.";"РАЗРАСТ.";"НЕТ"}, 0), G98,G99,G100,G101,100%,100%,100%)*I28)*K28,0)</f>
        <v>0</v>
      </c>
      <c r="N28" s="473"/>
      <c r="O28" s="687"/>
      <c r="P28" s="688"/>
      <c r="Q28" s="373"/>
      <c r="R28" s="688"/>
      <c r="S28" s="688"/>
      <c r="T28" s="373"/>
    </row>
    <row r="29" ht="19.5" customHeight="1">
      <c r="B29" s="689" t="s">
        <v>1889</v>
      </c>
      <c r="C29" s="690"/>
      <c r="D29" s="549" t="s">
        <v>1958</v>
      </c>
      <c r="E29" s="691"/>
      <c r="F29" s="473"/>
      <c r="G29" s="473"/>
      <c r="H29" s="627" t="str">
        <f t="shared" si="2"/>
        <v>УЛЬТА</v>
      </c>
      <c r="I29" s="616">
        <f t="shared" si="3"/>
        <v>3760</v>
      </c>
      <c r="J29" s="638" t="s">
        <v>1918</v>
      </c>
      <c r="K29" s="639">
        <v>12.0</v>
      </c>
      <c r="L29" s="640" t="b">
        <v>0</v>
      </c>
      <c r="M29" s="641">
        <f t="array" ref="M29">ROUND((CHOOSE(MATCH(LOWER(TRIM(J29)),{"ПАР";"ОБ.ПАР";"ТАЯНИЕ";"ОБ.ТАЯНИЕ";"ОБОСТР.";"РАЗРАСТ.";"НЕТ"}, 0), G98,G99,G100,G101,100%,100%,100%)*I29)*K29,0)</f>
        <v>45120</v>
      </c>
      <c r="N29" s="473"/>
      <c r="O29" s="692" t="s">
        <v>1959</v>
      </c>
      <c r="P29" s="565"/>
      <c r="Q29" s="693" t="s">
        <v>1884</v>
      </c>
      <c r="R29" s="548"/>
      <c r="S29" s="549" t="s">
        <v>1885</v>
      </c>
      <c r="T29" s="694"/>
    </row>
    <row r="30" ht="19.5" customHeight="1">
      <c r="B30" s="695" t="s">
        <v>1892</v>
      </c>
      <c r="C30" s="696"/>
      <c r="D30" s="697" t="s">
        <v>1960</v>
      </c>
      <c r="E30" s="698"/>
      <c r="F30" s="473"/>
      <c r="G30" s="473"/>
      <c r="H30" s="627" t="str">
        <f t="shared" si="2"/>
        <v>УЛЬТА</v>
      </c>
      <c r="I30" s="628">
        <f t="shared" si="3"/>
        <v>3760</v>
      </c>
      <c r="J30" s="629" t="s">
        <v>2240</v>
      </c>
      <c r="K30" s="630">
        <v>4.0</v>
      </c>
      <c r="L30" s="631" t="b">
        <v>0</v>
      </c>
      <c r="M30" s="632">
        <f t="array" ref="M30">ROUND((CHOOSE(MATCH(LOWER(TRIM(J30)),{"ПАР";"ОБ.ПАР";"ТАЯНИЕ";"ОБ.ТАЯНИЕ";"ОБОСТР.";"РАЗРАСТ.";"НЕТ"}, 0), G98,G99,G100,G101,100%,100%,100%)*I30)*K30,0)</f>
        <v>25568</v>
      </c>
      <c r="N30" s="473"/>
      <c r="O30" s="699" t="s">
        <v>1961</v>
      </c>
      <c r="P30" s="700"/>
      <c r="Q30" s="701" t="s">
        <v>1889</v>
      </c>
      <c r="R30" s="702"/>
      <c r="S30" s="703" t="s">
        <v>1890</v>
      </c>
      <c r="T30" s="704">
        <f>IF(S35=1, 12,0)+IF(S35=2, 24,0)+IF(S35=3, 36,0)+IF(S35=4, 36,0)+IF(S35=5, 36,0)</f>
        <v>36</v>
      </c>
    </row>
    <row r="31" ht="19.5" customHeight="1">
      <c r="B31" s="705" t="s">
        <v>1962</v>
      </c>
      <c r="C31" s="706"/>
      <c r="D31" s="549" t="s">
        <v>1963</v>
      </c>
      <c r="E31" s="691"/>
      <c r="F31" s="515"/>
      <c r="G31" s="473"/>
      <c r="H31" s="627" t="str">
        <f t="shared" si="2"/>
        <v>УЛЬТА</v>
      </c>
      <c r="I31" s="616">
        <f t="shared" si="3"/>
        <v>3760</v>
      </c>
      <c r="J31" s="638" t="s">
        <v>1918</v>
      </c>
      <c r="K31" s="639"/>
      <c r="L31" s="640" t="b">
        <v>0</v>
      </c>
      <c r="M31" s="641">
        <f t="array" ref="M31">ROUND((CHOOSE(MATCH(LOWER(TRIM(J31)),{"ПАР";"ОБ.ПАР";"ТАЯНИЕ";"ОБ.ТАЯНИЕ";"ОБОСТР.";"РАЗРАСТ.";"НЕТ"}, 0), G98,G99,G100,G101,100%,100%,100%)*I31)*K31,0)</f>
        <v>0</v>
      </c>
      <c r="N31" s="473"/>
      <c r="O31" s="692" t="s">
        <v>1964</v>
      </c>
      <c r="P31" s="707"/>
      <c r="Q31" s="693" t="s">
        <v>1892</v>
      </c>
      <c r="R31" s="548"/>
      <c r="S31" s="549" t="s">
        <v>1893</v>
      </c>
      <c r="T31" s="694"/>
    </row>
    <row r="32" ht="19.5" customHeight="1">
      <c r="B32" s="695" t="s">
        <v>1890</v>
      </c>
      <c r="C32" s="696"/>
      <c r="D32" s="697" t="s">
        <v>1965</v>
      </c>
      <c r="E32" s="698"/>
      <c r="F32" s="515"/>
      <c r="G32" s="473"/>
      <c r="H32" s="627" t="str">
        <f t="shared" si="2"/>
        <v>УНИК. УДАР</v>
      </c>
      <c r="I32" s="628">
        <f t="shared" si="3"/>
        <v>27171</v>
      </c>
      <c r="J32" s="629" t="s">
        <v>2240</v>
      </c>
      <c r="K32" s="630"/>
      <c r="L32" s="631" t="b">
        <v>0</v>
      </c>
      <c r="M32" s="632">
        <f t="array" ref="M32">ROUND((CHOOSE(MATCH(LOWER(TRIM(J32)),{"ПАР";"ОБ.ПАР";"ТАЯНИЕ";"ОБ.ТАЯНИЕ";"ОБОСТР.";"РАЗРАСТ.";"НЕТ"}, 0), G98,G99,G100,G101,100%,100%,100%)*I32)*K32,0)</f>
        <v>0</v>
      </c>
      <c r="N32" s="473"/>
      <c r="O32" s="699" t="s">
        <v>1934</v>
      </c>
      <c r="P32" s="700"/>
      <c r="Q32" s="701" t="s">
        <v>1966</v>
      </c>
      <c r="R32" s="708"/>
      <c r="S32" s="703" t="s">
        <v>1967</v>
      </c>
      <c r="T32" s="709"/>
    </row>
    <row r="33" ht="19.5" customHeight="1">
      <c r="B33" s="689" t="s">
        <v>1968</v>
      </c>
      <c r="C33" s="690"/>
      <c r="D33" s="549" t="s">
        <v>1969</v>
      </c>
      <c r="E33" s="691"/>
      <c r="F33" s="515"/>
      <c r="G33" s="473"/>
      <c r="H33" s="627" t="str">
        <f t="shared" si="2"/>
        <v>УНИК. УДАР</v>
      </c>
      <c r="I33" s="616">
        <f t="shared" si="3"/>
        <v>0</v>
      </c>
      <c r="J33" s="638" t="s">
        <v>1918</v>
      </c>
      <c r="K33" s="639"/>
      <c r="L33" s="640" t="b">
        <v>0</v>
      </c>
      <c r="M33" s="641">
        <f t="array" ref="M33">ROUND((CHOOSE(MATCH(LOWER(TRIM(J33)),{"ПАР";"ОБ.ПАР";"ТАЯНИЕ";"ОБ.ТАЯНИЕ";"ОБОСТР.";"РАЗРАСТ.";"НЕТ"}, 0), G98,G99,G100,G101,100%,100%,100%)*I33)*K33,0)</f>
        <v>0</v>
      </c>
      <c r="N33" s="515"/>
      <c r="O33" s="692" t="s">
        <v>1970</v>
      </c>
      <c r="P33" s="707"/>
      <c r="Q33" s="710" t="s">
        <v>1971</v>
      </c>
      <c r="R33" s="711">
        <v>4780.0</v>
      </c>
      <c r="S33" s="712" t="s">
        <v>1972</v>
      </c>
      <c r="T33" s="713">
        <v>311.0</v>
      </c>
    </row>
    <row r="34" ht="19.5" customHeight="1">
      <c r="B34" s="695" t="s">
        <v>1967</v>
      </c>
      <c r="C34" s="714"/>
      <c r="D34" s="697" t="s">
        <v>1973</v>
      </c>
      <c r="E34" s="698"/>
      <c r="F34" s="473"/>
      <c r="G34" s="473"/>
      <c r="H34" s="627" t="str">
        <f t="shared" si="2"/>
        <v>УНИК. УДАР</v>
      </c>
      <c r="I34" s="628">
        <f t="shared" si="3"/>
        <v>0</v>
      </c>
      <c r="J34" s="629" t="s">
        <v>1918</v>
      </c>
      <c r="K34" s="630"/>
      <c r="L34" s="631" t="b">
        <v>0</v>
      </c>
      <c r="M34" s="632">
        <f t="array" ref="M34">ROUND((CHOOSE(MATCH(LOWER(TRIM(J34)),{"ПАР";"ОБ.ПАР";"ТАЯНИЕ";"ОБ.ТАЯНИЕ";"ОБОСТР.";"РАЗРАСТ.";"НЕТ"}, 0), G98,G99,G100,G101,100%,100%,100%)*I34)*K34,0)</f>
        <v>0</v>
      </c>
      <c r="N34" s="473"/>
      <c r="O34" s="699" t="s">
        <v>1974</v>
      </c>
      <c r="P34" s="700"/>
      <c r="Q34" s="715" t="s">
        <v>1975</v>
      </c>
      <c r="R34" s="716"/>
      <c r="S34" s="717" t="s">
        <v>1897</v>
      </c>
      <c r="T34" s="294"/>
    </row>
    <row r="35" ht="19.5" customHeight="1">
      <c r="B35" s="718" t="s">
        <v>1933</v>
      </c>
      <c r="C35" s="719"/>
      <c r="D35" s="720" t="s">
        <v>1896</v>
      </c>
      <c r="E35" s="721"/>
      <c r="F35" s="473"/>
      <c r="G35" s="473"/>
      <c r="H35" s="627" t="str">
        <f t="shared" si="2"/>
        <v>УНИК. УДАР</v>
      </c>
      <c r="I35" s="616">
        <f t="shared" si="3"/>
        <v>0</v>
      </c>
      <c r="J35" s="638" t="s">
        <v>1918</v>
      </c>
      <c r="K35" s="639"/>
      <c r="L35" s="640" t="b">
        <v>0</v>
      </c>
      <c r="M35" s="641">
        <f t="array" ref="M35">ROUND((CHOOSE(MATCH(LOWER(TRIM(J35)),{"ПАР";"ОБ.ПАР";"ТАЯНИЕ";"ОБ.ТАЯНИЕ";"ОБОСТР.";"РАЗРАСТ.";"НЕТ"}, 0), G98,G99,G100,G101,100%,100%,100%)*I35)*K35,0)</f>
        <v>0</v>
      </c>
      <c r="N35" s="473"/>
      <c r="O35" s="692" t="s">
        <v>1976</v>
      </c>
      <c r="P35" s="707"/>
      <c r="Q35" s="701" t="s">
        <v>1896</v>
      </c>
      <c r="R35" s="722"/>
      <c r="S35" s="723">
        <v>5.0</v>
      </c>
      <c r="T35" s="724" t="b">
        <v>1</v>
      </c>
    </row>
    <row r="36" ht="19.5" customHeight="1">
      <c r="B36" s="725"/>
      <c r="C36" s="473"/>
      <c r="D36" s="473"/>
      <c r="E36" s="473"/>
      <c r="F36" s="473"/>
      <c r="G36" s="473"/>
      <c r="H36" s="627" t="str">
        <f t="shared" si="2"/>
        <v>УНИК. УДАР</v>
      </c>
      <c r="I36" s="628">
        <f t="shared" si="3"/>
        <v>0</v>
      </c>
      <c r="J36" s="629" t="s">
        <v>1918</v>
      </c>
      <c r="K36" s="630"/>
      <c r="L36" s="631" t="b">
        <v>0</v>
      </c>
      <c r="M36" s="632">
        <f t="array" ref="M36">ROUND((CHOOSE(MATCH(LOWER(TRIM(J36)),{"ПАР";"ОБ.ПАР";"ТАЯНИЕ";"ОБ.ТАЯНИЕ";"ОБОСТР.";"РАЗРАСТ.";"НЕТ"}, 0), G98,G99,G100,G101,100%,100%,100%)*I36)*K36,0)</f>
        <v>0</v>
      </c>
      <c r="N36" s="473"/>
      <c r="O36" s="699" t="s">
        <v>1943</v>
      </c>
      <c r="P36" s="700"/>
      <c r="Q36" s="693" t="s">
        <v>1899</v>
      </c>
      <c r="R36" s="565"/>
      <c r="S36" s="726"/>
      <c r="T36" s="294"/>
    </row>
    <row r="37" ht="19.5" customHeight="1">
      <c r="B37" s="727" t="s">
        <v>1977</v>
      </c>
      <c r="C37" s="728"/>
      <c r="D37" s="729"/>
      <c r="E37" s="727" t="s">
        <v>53</v>
      </c>
      <c r="F37" s="729"/>
      <c r="G37" s="473"/>
      <c r="H37" s="627" t="str">
        <f t="shared" si="2"/>
        <v>УНИК. УДАР</v>
      </c>
      <c r="I37" s="616">
        <f t="shared" si="3"/>
        <v>0</v>
      </c>
      <c r="J37" s="638" t="s">
        <v>1918</v>
      </c>
      <c r="K37" s="639"/>
      <c r="L37" s="640" t="b">
        <v>0</v>
      </c>
      <c r="M37" s="641">
        <f t="array" ref="M37">ROUND((CHOOSE(MATCH(LOWER(TRIM(J37)),{"ПАР";"ОБ.ПАР";"ТАЯНИЕ";"ОБ.ТАЯНИЕ";"ОБОСТР.";"РАЗРАСТ.";"НЕТ"}, 0), G98,G99,G100,G101,100%,100%,100%)*I37)*K37,0)</f>
        <v>0</v>
      </c>
      <c r="N37" s="473"/>
      <c r="O37" s="692" t="s">
        <v>1978</v>
      </c>
      <c r="P37" s="707"/>
      <c r="Q37" s="701" t="s">
        <v>1903</v>
      </c>
      <c r="R37" s="722"/>
      <c r="S37" s="730" t="s">
        <v>1979</v>
      </c>
      <c r="T37" s="731" t="b">
        <v>1</v>
      </c>
    </row>
    <row r="38" ht="19.5" customHeight="1">
      <c r="B38" s="732"/>
      <c r="C38" s="733"/>
      <c r="D38" s="734"/>
      <c r="E38" s="732"/>
      <c r="F38" s="734"/>
      <c r="G38" s="473"/>
      <c r="H38" s="627" t="str">
        <f t="shared" si="2"/>
        <v>УНИК. УДАР</v>
      </c>
      <c r="I38" s="628">
        <f t="shared" si="3"/>
        <v>0</v>
      </c>
      <c r="J38" s="629" t="s">
        <v>1918</v>
      </c>
      <c r="K38" s="630"/>
      <c r="L38" s="631" t="b">
        <v>0</v>
      </c>
      <c r="M38" s="632">
        <f t="array" ref="M38">ROUND((CHOOSE(MATCH(LOWER(TRIM(J38)),{"ПАР";"ОБ.ПАР";"ТАЯНИЕ";"ОБ.ТАЯНИЕ";"ОБОСТР.";"РАЗРАСТ.";"НЕТ"}, 0), G98,G99,G100,G101,100%,100%,100%)*I38)*K38,0)</f>
        <v>0</v>
      </c>
      <c r="N38" s="473"/>
      <c r="O38" s="699" t="s">
        <v>1980</v>
      </c>
      <c r="P38" s="700"/>
      <c r="Q38" s="693" t="s">
        <v>1907</v>
      </c>
      <c r="R38" s="565">
        <v>15.0</v>
      </c>
      <c r="S38" s="735" t="s">
        <v>1981</v>
      </c>
      <c r="T38" s="294"/>
    </row>
    <row r="39" ht="19.5" customHeight="1">
      <c r="B39" s="736" t="s">
        <v>1982</v>
      </c>
      <c r="D39" s="737" t="b">
        <v>1</v>
      </c>
      <c r="E39" s="736" t="s">
        <v>553</v>
      </c>
      <c r="F39" s="737" t="b">
        <v>0</v>
      </c>
      <c r="G39" s="473"/>
      <c r="H39" s="627" t="str">
        <f t="shared" si="2"/>
        <v>УНИК. УДАР</v>
      </c>
      <c r="I39" s="616">
        <f t="shared" si="3"/>
        <v>0</v>
      </c>
      <c r="J39" s="638" t="s">
        <v>1918</v>
      </c>
      <c r="K39" s="639"/>
      <c r="L39" s="640" t="b">
        <v>0</v>
      </c>
      <c r="M39" s="641">
        <f t="array" ref="M39">ROUND((CHOOSE(MATCH(LOWER(TRIM(J39)),{"ПАР";"ОБ.ПАР";"ТАЯНИЕ";"ОБ.ТАЯНИЕ";"ОБОСТР.";"РАЗРАСТ.";"НЕТ"}, 0), G98,G99,G100,G101,100%,100%,100%)*I39)*K39,0)</f>
        <v>0</v>
      </c>
      <c r="N39" s="473"/>
      <c r="O39" s="692" t="s">
        <v>1983</v>
      </c>
      <c r="P39" s="707"/>
      <c r="Q39" s="701" t="s">
        <v>1910</v>
      </c>
      <c r="R39" s="722">
        <v>15.0</v>
      </c>
      <c r="S39" s="687"/>
      <c r="T39" s="373"/>
    </row>
    <row r="40" ht="19.5" customHeight="1">
      <c r="B40" s="738"/>
      <c r="D40" s="739"/>
      <c r="E40" s="738"/>
      <c r="F40" s="739"/>
      <c r="G40" s="473"/>
      <c r="H40" s="627" t="str">
        <f t="shared" si="2"/>
        <v>УНИК. УДАР</v>
      </c>
      <c r="I40" s="628">
        <f t="shared" si="3"/>
        <v>0</v>
      </c>
      <c r="J40" s="629" t="s">
        <v>1918</v>
      </c>
      <c r="K40" s="630"/>
      <c r="L40" s="631" t="b">
        <v>0</v>
      </c>
      <c r="M40" s="632">
        <f t="array" ref="M40">ROUND((CHOOSE(MATCH(LOWER(TRIM(J40)),{"ПАР";"ОБ.ПАР";"ТАЯНИЕ";"ОБ.ТАЯНИЕ";"ОБОСТР.";"РАЗРАСТ.";"НЕТ"}, 0), G98,G99,G100,G101,100%,100%,100%)*I40)*K40,0)</f>
        <v>0</v>
      </c>
      <c r="N40" s="473"/>
      <c r="O40" s="699" t="s">
        <v>1984</v>
      </c>
      <c r="P40" s="700"/>
      <c r="Q40" s="740" t="s">
        <v>1913</v>
      </c>
      <c r="R40" s="741"/>
      <c r="S40" s="742" t="s">
        <v>1985</v>
      </c>
      <c r="T40" s="294"/>
    </row>
    <row r="41" ht="19.5" customHeight="1">
      <c r="B41" s="743" t="s">
        <v>1986</v>
      </c>
      <c r="D41" s="744" t="b">
        <v>1</v>
      </c>
      <c r="E41" s="743" t="s">
        <v>554</v>
      </c>
      <c r="F41" s="744" t="b">
        <v>0</v>
      </c>
      <c r="G41" s="473"/>
      <c r="H41" s="627" t="str">
        <f t="shared" si="2"/>
        <v>УНИК. УДАР</v>
      </c>
      <c r="I41" s="616">
        <f t="shared" si="3"/>
        <v>0</v>
      </c>
      <c r="J41" s="638" t="s">
        <v>1918</v>
      </c>
      <c r="K41" s="639"/>
      <c r="L41" s="640" t="b">
        <v>0</v>
      </c>
      <c r="M41" s="641">
        <f t="array" ref="M41">ROUND((CHOOSE(MATCH(LOWER(TRIM(J41)),{"ПАР";"ОБ.ПАР";"ТАЯНИЕ";"ОБ.ТАЯНИЕ";"ОБОСТР.";"РАЗРАСТ.";"НЕТ"}, 0), G98,G99,G100,G101,100%,100%,100%)*I41)*K41,0)</f>
        <v>0</v>
      </c>
      <c r="N41" s="473"/>
      <c r="O41" s="692" t="s">
        <v>1987</v>
      </c>
      <c r="P41" s="565"/>
      <c r="Q41" s="701" t="s">
        <v>1963</v>
      </c>
      <c r="R41" s="704"/>
      <c r="S41" s="687"/>
      <c r="T41" s="373"/>
    </row>
    <row r="42" ht="19.5" customHeight="1">
      <c r="B42" s="738"/>
      <c r="D42" s="739"/>
      <c r="E42" s="738"/>
      <c r="F42" s="739"/>
      <c r="G42" s="473"/>
      <c r="H42" s="627" t="str">
        <f t="shared" si="2"/>
        <v>УНИК. УДАР</v>
      </c>
      <c r="I42" s="628">
        <f t="shared" si="3"/>
        <v>0</v>
      </c>
      <c r="J42" s="629" t="s">
        <v>1918</v>
      </c>
      <c r="K42" s="630"/>
      <c r="L42" s="631" t="b">
        <v>0</v>
      </c>
      <c r="M42" s="632">
        <f t="array" ref="M42">ROUND((CHOOSE(MATCH(LOWER(TRIM(J42)),{"ПАР";"ОБ.ПАР";"ТАЯНИЕ";"ОБ.ТАЯНИЕ";"ОБОСТР.";"РАЗРАСТ.";"НЕТ"}, 0), G98,G99,G100,G101,100%,100%,100%)*I42)*K42,0)</f>
        <v>0</v>
      </c>
      <c r="N42" s="473"/>
      <c r="O42" s="745" t="s">
        <v>1988</v>
      </c>
      <c r="P42" s="746"/>
      <c r="Q42" s="693" t="s">
        <v>1957</v>
      </c>
      <c r="R42" s="565"/>
      <c r="S42" s="747" t="s">
        <v>1989</v>
      </c>
      <c r="T42" s="748"/>
    </row>
    <row r="43" ht="19.5" customHeight="1">
      <c r="B43" s="736" t="s">
        <v>1990</v>
      </c>
      <c r="D43" s="737" t="b">
        <v>1</v>
      </c>
      <c r="E43" s="736" t="s">
        <v>555</v>
      </c>
      <c r="F43" s="737" t="b">
        <v>0</v>
      </c>
      <c r="G43" s="473"/>
      <c r="H43" s="627" t="str">
        <f t="shared" si="2"/>
        <v>УНИК. УДАР</v>
      </c>
      <c r="I43" s="616">
        <f t="shared" si="3"/>
        <v>0</v>
      </c>
      <c r="J43" s="638" t="s">
        <v>1918</v>
      </c>
      <c r="K43" s="639"/>
      <c r="L43" s="640" t="b">
        <v>0</v>
      </c>
      <c r="M43" s="641">
        <f t="array" ref="M43">ROUND((CHOOSE(MATCH(LOWER(TRIM(J43)),{"ПАР";"ОБ.ПАР";"ТАЯНИЕ";"ОБ.ТАЯНИЕ";"ОБОСТР.";"РАЗРАСТ.";"НЕТ"}, 0), G98,G99,G100,G101,100%,100%,100%)*I43)*K43,0)</f>
        <v>0</v>
      </c>
      <c r="N43" s="473"/>
      <c r="O43" s="473"/>
      <c r="P43" s="515"/>
      <c r="Q43" s="701" t="s">
        <v>1958</v>
      </c>
      <c r="R43" s="704"/>
      <c r="S43" s="749" t="s">
        <v>2184</v>
      </c>
      <c r="T43" s="681"/>
    </row>
    <row r="44" ht="19.5" customHeight="1">
      <c r="B44" s="738"/>
      <c r="D44" s="739"/>
      <c r="E44" s="738"/>
      <c r="F44" s="739"/>
      <c r="G44" s="473"/>
      <c r="H44" s="627" t="str">
        <f t="shared" si="2"/>
        <v>УНИК. УДАР</v>
      </c>
      <c r="I44" s="628">
        <f t="shared" si="3"/>
        <v>0</v>
      </c>
      <c r="J44" s="629" t="s">
        <v>1918</v>
      </c>
      <c r="K44" s="630"/>
      <c r="L44" s="631" t="b">
        <v>0</v>
      </c>
      <c r="M44" s="632">
        <f t="array" ref="M44">ROUND((CHOOSE(MATCH(LOWER(TRIM(J44)),{"ПАР";"ОБ.ПАР";"ТАЯНИЕ";"ОБ.ТАЯНИЕ";"ОБОСТР.";"РАЗРАСТ.";"НЕТ"}, 0), G98,G99,G100,G101,100%,100%,100%)*I44)*K44,0)</f>
        <v>0</v>
      </c>
      <c r="N44" s="473"/>
      <c r="O44" s="473"/>
      <c r="P44" s="515"/>
      <c r="Q44" s="693" t="s">
        <v>1960</v>
      </c>
      <c r="R44" s="694"/>
      <c r="S44" s="687"/>
      <c r="T44" s="373"/>
    </row>
    <row r="45" ht="19.5" customHeight="1">
      <c r="B45" s="743" t="s">
        <v>1992</v>
      </c>
      <c r="D45" s="744" t="b">
        <v>1</v>
      </c>
      <c r="E45" s="743" t="s">
        <v>556</v>
      </c>
      <c r="F45" s="744" t="b">
        <v>0</v>
      </c>
      <c r="G45" s="473"/>
      <c r="H45" s="627" t="str">
        <f t="shared" si="2"/>
        <v>УНИК. УДАР</v>
      </c>
      <c r="I45" s="616">
        <f t="shared" si="3"/>
        <v>0</v>
      </c>
      <c r="J45" s="638" t="s">
        <v>1918</v>
      </c>
      <c r="K45" s="639"/>
      <c r="L45" s="640" t="b">
        <v>0</v>
      </c>
      <c r="M45" s="641">
        <f t="array" ref="M45">ROUND((CHOOSE(MATCH(LOWER(TRIM(J45)),{"ПАР";"ОБ.ПАР";"ТАЯНИЕ";"ОБ.ТАЯНИЕ";"ОБОСТР.";"РАЗРАСТ.";"НЕТ"}, 0), G98,G99,G100,G101,100%,100%,100%)*I45)*K45,0)</f>
        <v>0</v>
      </c>
      <c r="N45" s="473"/>
      <c r="O45" s="473"/>
      <c r="P45" s="515"/>
      <c r="Q45" s="701" t="s">
        <v>1965</v>
      </c>
      <c r="R45" s="722"/>
      <c r="S45" s="747" t="s">
        <v>1993</v>
      </c>
      <c r="T45" s="748"/>
    </row>
    <row r="46" ht="19.5" customHeight="1">
      <c r="B46" s="732"/>
      <c r="C46" s="733"/>
      <c r="D46" s="734"/>
      <c r="E46" s="738"/>
      <c r="F46" s="739"/>
      <c r="G46" s="473"/>
      <c r="H46" s="750" t="str">
        <f>P125</f>
        <v>ПРОЧЕЕ</v>
      </c>
      <c r="I46" s="751">
        <f>J125</f>
        <v>0</v>
      </c>
      <c r="J46" s="752" t="s">
        <v>1918</v>
      </c>
      <c r="K46" s="753"/>
      <c r="L46" s="754"/>
      <c r="M46" s="755">
        <f t="array" ref="M46">ROUND((CHOOSE(MATCH(LOWER(TRIM(J46)),{"ПАР";"ОБ.ПАР";"ТАЯНИЕ";"ОБ.ТАЯНИЕ";"ОБОСТР.";"РАЗРАСТ.";"НЕТ"}, 0), G98,G99,G100,G101,100%,100%,100%)*I46)*K46,0)</f>
        <v>0</v>
      </c>
      <c r="N46" s="473"/>
      <c r="O46" s="473"/>
      <c r="P46" s="515"/>
      <c r="Q46" s="693" t="s">
        <v>1969</v>
      </c>
      <c r="R46" s="694"/>
      <c r="S46" s="749" t="s">
        <v>2242</v>
      </c>
      <c r="T46" s="681"/>
    </row>
    <row r="47" ht="19.5" customHeight="1">
      <c r="B47" s="756" t="s">
        <v>570</v>
      </c>
      <c r="C47" s="757" t="s">
        <v>571</v>
      </c>
      <c r="D47" s="758" t="s">
        <v>1883</v>
      </c>
      <c r="E47" s="736" t="s">
        <v>557</v>
      </c>
      <c r="F47" s="737" t="b">
        <v>0</v>
      </c>
      <c r="G47" s="473"/>
      <c r="H47" s="473"/>
      <c r="I47" s="473"/>
      <c r="J47" s="473"/>
      <c r="K47" s="473"/>
      <c r="L47" s="473"/>
      <c r="M47" s="473"/>
      <c r="N47" s="473"/>
      <c r="O47" s="473"/>
      <c r="P47" s="515"/>
      <c r="Q47" s="759" t="s">
        <v>1973</v>
      </c>
      <c r="R47" s="760"/>
      <c r="S47" s="687"/>
      <c r="T47" s="373"/>
    </row>
    <row r="48" ht="19.5" customHeight="1">
      <c r="B48" s="761"/>
      <c r="C48" s="762">
        <v>439098.0</v>
      </c>
      <c r="D48" s="763">
        <f>IFERROR(C48/C48,"-")</f>
        <v>1</v>
      </c>
      <c r="E48" s="738"/>
      <c r="F48" s="739"/>
      <c r="G48" s="473"/>
      <c r="H48" s="473"/>
      <c r="I48" s="764" t="s">
        <v>1995</v>
      </c>
      <c r="J48" s="765"/>
      <c r="K48" s="765"/>
      <c r="L48" s="765"/>
      <c r="M48" s="766"/>
      <c r="N48" s="473"/>
      <c r="O48" s="767" t="s">
        <v>1996</v>
      </c>
      <c r="P48" s="768">
        <f t="array" ref="P48">((R53+T30+CHOOSE(MATCH(LOWER(TRIM(S49)),{"ШК%";"КУ%";"СА%";"ХП%";"ЗЩ%";"БОНУС ЛЕЧЕНИЕ";"МС";"НЕТ"}, 0), 31.1,0,0,0,0,0,0,0))*2)+
(R52+T29+ CHOOSE(MATCH(LOWER(TRIM(S49)),{"ШК%";"КУ%";"СА%";"ХП%";"ЗЩ%";"БОНУС ЛЕЧЕНИЕ";"МС";"НЕТ"}, 0), 0,62.2,0,0,0,0,0,0))</f>
        <v>292.1</v>
      </c>
      <c r="Q48" s="769" t="s">
        <v>1933</v>
      </c>
      <c r="R48" s="556"/>
      <c r="S48" s="747" t="s">
        <v>1997</v>
      </c>
      <c r="T48" s="748"/>
    </row>
    <row r="49" ht="19.5" customHeight="1">
      <c r="B49" s="770"/>
      <c r="C49" s="771">
        <v>585435.0</v>
      </c>
      <c r="D49" s="772">
        <f>IFERROR(C49/C48,"-")</f>
        <v>1.333267289</v>
      </c>
      <c r="E49" s="743" t="s">
        <v>411</v>
      </c>
      <c r="F49" s="744" t="b">
        <v>0</v>
      </c>
      <c r="G49" s="473"/>
      <c r="H49" s="473"/>
      <c r="I49" s="773"/>
      <c r="J49" s="774"/>
      <c r="K49" s="774"/>
      <c r="L49" s="774"/>
      <c r="M49" s="775"/>
      <c r="N49" s="473"/>
      <c r="O49" s="776"/>
      <c r="P49" s="373"/>
      <c r="Q49" s="701" t="s">
        <v>1935</v>
      </c>
      <c r="R49" s="704"/>
      <c r="S49" s="749" t="s">
        <v>1881</v>
      </c>
      <c r="T49" s="681"/>
    </row>
    <row r="50" ht="19.5" customHeight="1">
      <c r="B50" s="761"/>
      <c r="C50" s="762">
        <v>661515.0</v>
      </c>
      <c r="D50" s="763">
        <f>IFERROR(C50/C48,"-")</f>
        <v>1.506531572</v>
      </c>
      <c r="E50" s="732"/>
      <c r="F50" s="734"/>
      <c r="G50" s="473"/>
      <c r="H50" s="473"/>
      <c r="I50" s="777" t="s">
        <v>78</v>
      </c>
      <c r="J50" s="778" t="s">
        <v>571</v>
      </c>
      <c r="K50" s="779" t="s">
        <v>1927</v>
      </c>
      <c r="L50" s="778" t="s">
        <v>1928</v>
      </c>
      <c r="M50" s="780" t="s">
        <v>1929</v>
      </c>
      <c r="N50" s="473"/>
      <c r="O50" s="781" t="s">
        <v>1999</v>
      </c>
      <c r="P50" s="680"/>
      <c r="Q50" s="680"/>
      <c r="R50" s="681"/>
      <c r="S50" s="687"/>
      <c r="T50" s="373"/>
    </row>
    <row r="51" ht="19.5" customHeight="1">
      <c r="B51" s="770"/>
      <c r="C51" s="771">
        <v>675045.0</v>
      </c>
      <c r="D51" s="772">
        <f>IFERROR(C51/C48,"-")</f>
        <v>1.537344739</v>
      </c>
      <c r="E51" s="473"/>
      <c r="F51" s="473"/>
      <c r="G51" s="473"/>
      <c r="H51" s="473"/>
      <c r="I51" s="782" t="s">
        <v>2000</v>
      </c>
      <c r="J51" s="783">
        <f t="shared" ref="J51:J54" si="4">F104</f>
        <v>0</v>
      </c>
      <c r="K51" s="784"/>
      <c r="L51" s="783" t="s">
        <v>14</v>
      </c>
      <c r="M51" s="785">
        <f t="shared" ref="M51:M65" si="5">J51*K51</f>
        <v>0</v>
      </c>
      <c r="N51" s="473"/>
      <c r="O51" s="687"/>
      <c r="P51" s="688"/>
      <c r="Q51" s="688"/>
      <c r="R51" s="373"/>
      <c r="S51" s="786"/>
      <c r="T51" s="786"/>
    </row>
    <row r="52" ht="19.5" customHeight="1">
      <c r="B52" s="761"/>
      <c r="C52" s="762">
        <v>808726.0</v>
      </c>
      <c r="D52" s="763">
        <f>IFERROR(C52/C48,"-")</f>
        <v>1.841789304</v>
      </c>
      <c r="E52" s="473"/>
      <c r="F52" s="787" t="s">
        <v>68</v>
      </c>
      <c r="G52" s="788" t="s">
        <v>1928</v>
      </c>
      <c r="H52" s="473"/>
      <c r="I52" s="813" t="s">
        <v>2010</v>
      </c>
      <c r="J52" s="629">
        <f t="shared" si="4"/>
        <v>4013</v>
      </c>
      <c r="K52" s="630"/>
      <c r="L52" s="629" t="s">
        <v>14</v>
      </c>
      <c r="M52" s="814">
        <f t="shared" si="5"/>
        <v>0</v>
      </c>
      <c r="N52" s="473"/>
      <c r="O52" s="693" t="s">
        <v>1884</v>
      </c>
      <c r="P52" s="794" t="s">
        <v>2002</v>
      </c>
      <c r="Q52" s="549" t="s">
        <v>1885</v>
      </c>
      <c r="R52" s="795" t="s">
        <v>2003</v>
      </c>
      <c r="S52" s="796" t="s">
        <v>2004</v>
      </c>
      <c r="T52" s="797"/>
    </row>
    <row r="53" ht="19.5" customHeight="1">
      <c r="B53" s="770"/>
      <c r="C53" s="771">
        <v>831785.0</v>
      </c>
      <c r="D53" s="772">
        <f>IFERROR(C53/C48,"-")</f>
        <v>1.894303777</v>
      </c>
      <c r="E53" s="473"/>
      <c r="F53" s="798" t="s">
        <v>2005</v>
      </c>
      <c r="G53" s="799" t="b">
        <v>0</v>
      </c>
      <c r="H53" s="473"/>
      <c r="I53" s="815" t="s">
        <v>2014</v>
      </c>
      <c r="J53" s="816">
        <f t="shared" si="4"/>
        <v>6020</v>
      </c>
      <c r="K53" s="817"/>
      <c r="L53" s="816" t="s">
        <v>14</v>
      </c>
      <c r="M53" s="818">
        <f t="shared" si="5"/>
        <v>0</v>
      </c>
      <c r="N53" s="473"/>
      <c r="O53" s="701" t="s">
        <v>1892</v>
      </c>
      <c r="P53" s="805" t="s">
        <v>2007</v>
      </c>
      <c r="Q53" s="703" t="s">
        <v>1890</v>
      </c>
      <c r="R53" s="806" t="s">
        <v>2008</v>
      </c>
      <c r="S53" s="807"/>
      <c r="T53" s="807"/>
    </row>
    <row r="54" ht="19.5" customHeight="1">
      <c r="B54" s="808"/>
      <c r="C54" s="809">
        <v>1407933.0</v>
      </c>
      <c r="D54" s="810">
        <f>IFERROR(C54/C48,"-")</f>
        <v>3.20642089</v>
      </c>
      <c r="E54" s="473"/>
      <c r="F54" s="811" t="s">
        <v>2009</v>
      </c>
      <c r="G54" s="812" t="b">
        <v>0</v>
      </c>
      <c r="H54" s="473"/>
      <c r="I54" s="813" t="s">
        <v>2019</v>
      </c>
      <c r="J54" s="629">
        <f t="shared" si="4"/>
        <v>6020</v>
      </c>
      <c r="K54" s="630"/>
      <c r="L54" s="629" t="s">
        <v>14</v>
      </c>
      <c r="M54" s="823">
        <f t="shared" si="5"/>
        <v>0</v>
      </c>
      <c r="N54" s="473"/>
      <c r="O54" s="693" t="s">
        <v>1889</v>
      </c>
      <c r="P54" s="794" t="s">
        <v>2002</v>
      </c>
      <c r="Q54" s="549" t="s">
        <v>1893</v>
      </c>
      <c r="R54" s="795" t="s">
        <v>2011</v>
      </c>
      <c r="S54" s="796" t="s">
        <v>2012</v>
      </c>
      <c r="T54" s="797"/>
    </row>
    <row r="55" ht="19.5" customHeight="1">
      <c r="B55" s="473"/>
      <c r="C55" s="473"/>
      <c r="D55" s="473"/>
      <c r="E55" s="473"/>
      <c r="F55" s="798" t="s">
        <v>2013</v>
      </c>
      <c r="G55" s="799" t="b">
        <v>0</v>
      </c>
      <c r="H55" s="473"/>
      <c r="I55" s="815" t="s">
        <v>2023</v>
      </c>
      <c r="J55" s="816">
        <f>D108</f>
        <v>4013</v>
      </c>
      <c r="K55" s="817"/>
      <c r="L55" s="816" t="s">
        <v>14</v>
      </c>
      <c r="M55" s="818">
        <f t="shared" si="5"/>
        <v>0</v>
      </c>
      <c r="N55" s="473"/>
      <c r="O55" s="701" t="s">
        <v>2015</v>
      </c>
      <c r="P55" s="708">
        <v>837.0</v>
      </c>
      <c r="Q55" s="703" t="s">
        <v>2016</v>
      </c>
      <c r="R55" s="819">
        <v>38.0</v>
      </c>
      <c r="S55" s="807"/>
      <c r="T55" s="807"/>
    </row>
    <row r="56" ht="19.5" customHeight="1">
      <c r="B56" s="820" t="s">
        <v>2017</v>
      </c>
      <c r="C56" s="821"/>
      <c r="D56" s="821"/>
      <c r="E56" s="822"/>
      <c r="F56" s="811" t="s">
        <v>2018</v>
      </c>
      <c r="G56" s="812" t="b">
        <v>0</v>
      </c>
      <c r="H56" s="473"/>
      <c r="I56" s="813" t="s">
        <v>2025</v>
      </c>
      <c r="J56" s="629">
        <f t="shared" ref="J56:J58" si="6">F109</f>
        <v>8304</v>
      </c>
      <c r="K56" s="630"/>
      <c r="L56" s="629" t="s">
        <v>14</v>
      </c>
      <c r="M56" s="823">
        <f t="shared" si="5"/>
        <v>0</v>
      </c>
      <c r="N56" s="473"/>
      <c r="O56" s="710" t="s">
        <v>2020</v>
      </c>
      <c r="P56" s="711">
        <v>69.0</v>
      </c>
      <c r="Q56" s="712" t="s">
        <v>1967</v>
      </c>
      <c r="R56" s="824">
        <v>70.0</v>
      </c>
      <c r="S56" s="796" t="s">
        <v>2021</v>
      </c>
      <c r="T56" s="797"/>
    </row>
    <row r="57" ht="19.5" customHeight="1">
      <c r="B57" s="825"/>
      <c r="C57" s="826"/>
      <c r="D57" s="826"/>
      <c r="E57" s="827"/>
      <c r="F57" s="798" t="s">
        <v>2022</v>
      </c>
      <c r="G57" s="799" t="b">
        <v>0</v>
      </c>
      <c r="H57" s="473"/>
      <c r="I57" s="815" t="s">
        <v>2029</v>
      </c>
      <c r="J57" s="816">
        <f t="shared" si="6"/>
        <v>4152</v>
      </c>
      <c r="K57" s="817"/>
      <c r="L57" s="816" t="s">
        <v>14</v>
      </c>
      <c r="M57" s="818">
        <f t="shared" si="5"/>
        <v>0</v>
      </c>
      <c r="N57" s="473"/>
      <c r="O57" s="828"/>
      <c r="Q57" s="828"/>
      <c r="S57" s="807"/>
      <c r="T57" s="807"/>
    </row>
    <row r="58" ht="19.5" customHeight="1">
      <c r="B58" s="829" t="s">
        <v>1884</v>
      </c>
      <c r="C58" s="690"/>
      <c r="D58" s="549" t="s">
        <v>1885</v>
      </c>
      <c r="E58" s="830"/>
      <c r="F58" s="811" t="s">
        <v>2024</v>
      </c>
      <c r="G58" s="812" t="b">
        <v>0</v>
      </c>
      <c r="H58" s="473"/>
      <c r="I58" s="813" t="s">
        <v>2031</v>
      </c>
      <c r="J58" s="629">
        <f t="shared" si="6"/>
        <v>692</v>
      </c>
      <c r="K58" s="630"/>
      <c r="L58" s="629" t="s">
        <v>14</v>
      </c>
      <c r="M58" s="823">
        <f t="shared" si="5"/>
        <v>0</v>
      </c>
      <c r="N58" s="473"/>
      <c r="O58" s="831" t="s">
        <v>2026</v>
      </c>
      <c r="P58" s="832"/>
      <c r="Q58" s="832"/>
      <c r="R58" s="833"/>
      <c r="S58" s="834" t="s">
        <v>2027</v>
      </c>
      <c r="T58" s="835"/>
    </row>
    <row r="59" ht="19.5" customHeight="1">
      <c r="B59" s="836" t="s">
        <v>1889</v>
      </c>
      <c r="C59" s="837"/>
      <c r="D59" s="838" t="s">
        <v>1890</v>
      </c>
      <c r="E59" s="839"/>
      <c r="F59" s="798" t="s">
        <v>2028</v>
      </c>
      <c r="G59" s="799" t="b">
        <v>0</v>
      </c>
      <c r="H59" s="473"/>
      <c r="I59" s="815" t="s">
        <v>2036</v>
      </c>
      <c r="J59" s="816">
        <f t="shared" ref="J59:J60" si="7">D112</f>
        <v>5518</v>
      </c>
      <c r="K59" s="817"/>
      <c r="L59" s="816" t="s">
        <v>14</v>
      </c>
      <c r="M59" s="818">
        <f t="shared" si="5"/>
        <v>0</v>
      </c>
      <c r="N59" s="473"/>
      <c r="O59" s="840"/>
      <c r="P59" s="841"/>
      <c r="Q59" s="841"/>
      <c r="R59" s="807"/>
      <c r="S59" s="842"/>
      <c r="T59" s="843"/>
    </row>
    <row r="60" ht="19.5" customHeight="1">
      <c r="B60" s="829" t="s">
        <v>1892</v>
      </c>
      <c r="C60" s="690"/>
      <c r="D60" s="549" t="s">
        <v>1893</v>
      </c>
      <c r="E60" s="830"/>
      <c r="F60" s="811" t="s">
        <v>2030</v>
      </c>
      <c r="G60" s="812" t="b">
        <v>0</v>
      </c>
      <c r="H60" s="473"/>
      <c r="I60" s="813" t="s">
        <v>2038</v>
      </c>
      <c r="J60" s="629">
        <f t="shared" si="7"/>
        <v>502</v>
      </c>
      <c r="K60" s="630"/>
      <c r="L60" s="629" t="s">
        <v>14</v>
      </c>
      <c r="M60" s="823">
        <f t="shared" si="5"/>
        <v>0</v>
      </c>
      <c r="N60" s="473"/>
      <c r="O60" s="844" t="s">
        <v>65</v>
      </c>
      <c r="P60" s="845" t="s">
        <v>2032</v>
      </c>
      <c r="Q60" s="844" t="s">
        <v>2033</v>
      </c>
      <c r="R60" s="845" t="s">
        <v>2032</v>
      </c>
      <c r="S60" s="846" t="s">
        <v>2034</v>
      </c>
      <c r="T60" s="845" t="s">
        <v>2032</v>
      </c>
    </row>
    <row r="61" ht="19.5" customHeight="1">
      <c r="B61" s="836" t="s">
        <v>2020</v>
      </c>
      <c r="C61" s="837"/>
      <c r="D61" s="838" t="s">
        <v>1967</v>
      </c>
      <c r="E61" s="847"/>
      <c r="F61" s="798" t="s">
        <v>2035</v>
      </c>
      <c r="G61" s="799" t="b">
        <v>0</v>
      </c>
      <c r="H61" s="473"/>
      <c r="I61" s="815" t="s">
        <v>2040</v>
      </c>
      <c r="J61" s="816">
        <f t="shared" ref="J61:J62" si="8">F114</f>
        <v>1204</v>
      </c>
      <c r="K61" s="817"/>
      <c r="L61" s="816" t="s">
        <v>14</v>
      </c>
      <c r="M61" s="818">
        <f t="shared" si="5"/>
        <v>0</v>
      </c>
      <c r="N61" s="473"/>
      <c r="O61" s="848" t="s">
        <v>2238</v>
      </c>
      <c r="P61" s="849" t="s">
        <v>2243</v>
      </c>
      <c r="Q61" s="848" t="s">
        <v>2244</v>
      </c>
      <c r="R61" s="849" t="s">
        <v>2245</v>
      </c>
      <c r="S61" s="850" t="s">
        <v>2246</v>
      </c>
      <c r="T61" s="849" t="s">
        <v>2243</v>
      </c>
    </row>
    <row r="62" ht="19.5" customHeight="1">
      <c r="B62" s="829" t="s">
        <v>2015</v>
      </c>
      <c r="C62" s="690"/>
      <c r="D62" s="851" t="s">
        <v>2016</v>
      </c>
      <c r="E62" s="852"/>
      <c r="F62" s="811" t="s">
        <v>2037</v>
      </c>
      <c r="G62" s="812" t="b">
        <v>0</v>
      </c>
      <c r="H62" s="473"/>
      <c r="I62" s="813" t="s">
        <v>2043</v>
      </c>
      <c r="J62" s="629">
        <f t="shared" si="8"/>
        <v>1204</v>
      </c>
      <c r="K62" s="630"/>
      <c r="L62" s="629" t="s">
        <v>14</v>
      </c>
      <c r="M62" s="823">
        <f t="shared" si="5"/>
        <v>0</v>
      </c>
      <c r="N62" s="473"/>
      <c r="O62" s="853" t="s">
        <v>2247</v>
      </c>
      <c r="P62" s="854" t="s">
        <v>2248</v>
      </c>
      <c r="Q62" s="853" t="s">
        <v>2241</v>
      </c>
      <c r="R62" s="854" t="s">
        <v>2249</v>
      </c>
      <c r="S62" s="855" t="s">
        <v>2227</v>
      </c>
      <c r="T62" s="854" t="s">
        <v>2250</v>
      </c>
    </row>
    <row r="63" ht="19.5" customHeight="1">
      <c r="B63" s="856" t="s">
        <v>1975</v>
      </c>
      <c r="C63" s="857"/>
      <c r="D63" s="858" t="s">
        <v>1920</v>
      </c>
      <c r="E63" s="859"/>
      <c r="F63" s="798" t="s">
        <v>2039</v>
      </c>
      <c r="G63" s="799" t="b">
        <v>0</v>
      </c>
      <c r="H63" s="473"/>
      <c r="I63" s="815" t="s">
        <v>2046</v>
      </c>
      <c r="J63" s="816">
        <f t="shared" ref="J63:J65" si="9">D116</f>
        <v>6020</v>
      </c>
      <c r="K63" s="817"/>
      <c r="L63" s="816" t="s">
        <v>14</v>
      </c>
      <c r="M63" s="818">
        <f t="shared" si="5"/>
        <v>0</v>
      </c>
      <c r="N63" s="473"/>
      <c r="O63" s="848" t="s">
        <v>2251</v>
      </c>
      <c r="P63" s="849" t="s">
        <v>2252</v>
      </c>
      <c r="Q63" s="848" t="s">
        <v>1848</v>
      </c>
      <c r="R63" s="849" t="s">
        <v>2253</v>
      </c>
      <c r="S63" s="850" t="s">
        <v>2254</v>
      </c>
      <c r="T63" s="849" t="s">
        <v>2255</v>
      </c>
    </row>
    <row r="64" ht="19.5" customHeight="1">
      <c r="B64" s="829" t="s">
        <v>1896</v>
      </c>
      <c r="C64" s="690"/>
      <c r="D64" s="860" t="s">
        <v>2041</v>
      </c>
      <c r="E64" s="630"/>
      <c r="F64" s="811" t="s">
        <v>2042</v>
      </c>
      <c r="G64" s="812" t="b">
        <v>0</v>
      </c>
      <c r="H64" s="473"/>
      <c r="I64" s="813" t="s">
        <v>2049</v>
      </c>
      <c r="J64" s="629">
        <f t="shared" si="9"/>
        <v>3010</v>
      </c>
      <c r="K64" s="630"/>
      <c r="L64" s="629" t="s">
        <v>14</v>
      </c>
      <c r="M64" s="823">
        <f t="shared" si="5"/>
        <v>0</v>
      </c>
      <c r="N64" s="473"/>
      <c r="O64" s="853" t="s">
        <v>2256</v>
      </c>
      <c r="P64" s="854" t="s">
        <v>2257</v>
      </c>
      <c r="Q64" s="853" t="s">
        <v>2212</v>
      </c>
      <c r="R64" s="854" t="s">
        <v>2258</v>
      </c>
      <c r="S64" s="855" t="s">
        <v>2259</v>
      </c>
      <c r="T64" s="854" t="s">
        <v>2260</v>
      </c>
    </row>
    <row r="65" ht="19.5" customHeight="1">
      <c r="B65" s="836" t="s">
        <v>1957</v>
      </c>
      <c r="C65" s="837"/>
      <c r="D65" s="861" t="s">
        <v>2044</v>
      </c>
      <c r="E65" s="862"/>
      <c r="F65" s="798" t="s">
        <v>2045</v>
      </c>
      <c r="G65" s="799" t="b">
        <v>0</v>
      </c>
      <c r="H65" s="473"/>
      <c r="I65" s="1082" t="s">
        <v>2052</v>
      </c>
      <c r="J65" s="1083">
        <f t="shared" si="9"/>
        <v>2242</v>
      </c>
      <c r="K65" s="1084"/>
      <c r="L65" s="1083" t="s">
        <v>14</v>
      </c>
      <c r="M65" s="1085">
        <f t="shared" si="5"/>
        <v>0</v>
      </c>
      <c r="N65" s="473"/>
      <c r="O65" s="848" t="s">
        <v>2261</v>
      </c>
      <c r="P65" s="849" t="s">
        <v>2262</v>
      </c>
      <c r="Q65" s="848" t="s">
        <v>1833</v>
      </c>
      <c r="R65" s="849" t="s">
        <v>2263</v>
      </c>
      <c r="S65" s="850" t="s">
        <v>2264</v>
      </c>
      <c r="T65" s="849" t="s">
        <v>2265</v>
      </c>
    </row>
    <row r="66" ht="19.5" customHeight="1">
      <c r="B66" s="829" t="s">
        <v>1958</v>
      </c>
      <c r="C66" s="690"/>
      <c r="D66" s="860" t="s">
        <v>2047</v>
      </c>
      <c r="E66" s="630"/>
      <c r="F66" s="811" t="s">
        <v>2048</v>
      </c>
      <c r="G66" s="812" t="b">
        <v>0</v>
      </c>
      <c r="H66" s="473"/>
      <c r="I66" s="472"/>
      <c r="N66" s="473"/>
      <c r="O66" s="853" t="s">
        <v>2266</v>
      </c>
      <c r="P66" s="854" t="s">
        <v>2267</v>
      </c>
      <c r="Q66" s="853" t="s">
        <v>1840</v>
      </c>
      <c r="R66" s="854" t="s">
        <v>2268</v>
      </c>
      <c r="S66" s="855" t="s">
        <v>2199</v>
      </c>
      <c r="T66" s="854" t="s">
        <v>2269</v>
      </c>
    </row>
    <row r="67" ht="19.5" customHeight="1">
      <c r="B67" s="836" t="s">
        <v>1960</v>
      </c>
      <c r="C67" s="837"/>
      <c r="D67" s="861" t="s">
        <v>2050</v>
      </c>
      <c r="E67" s="862"/>
      <c r="F67" s="798" t="s">
        <v>2051</v>
      </c>
      <c r="G67" s="799" t="b">
        <v>0</v>
      </c>
      <c r="H67" s="473"/>
      <c r="I67" s="1086" t="s">
        <v>2055</v>
      </c>
      <c r="J67" s="1087" t="s">
        <v>2270</v>
      </c>
      <c r="K67" s="1088" t="s">
        <v>1924</v>
      </c>
      <c r="L67" s="1087" t="s">
        <v>2271</v>
      </c>
      <c r="M67" s="1089" t="s">
        <v>1924</v>
      </c>
      <c r="N67" s="473"/>
      <c r="O67" s="848" t="s">
        <v>2272</v>
      </c>
      <c r="P67" s="849" t="s">
        <v>2273</v>
      </c>
      <c r="Q67" s="848" t="s">
        <v>1845</v>
      </c>
      <c r="R67" s="849" t="s">
        <v>2274</v>
      </c>
      <c r="S67" s="850" t="s">
        <v>2275</v>
      </c>
      <c r="T67" s="849" t="s">
        <v>2276</v>
      </c>
    </row>
    <row r="68" ht="19.5" customHeight="1">
      <c r="B68" s="829" t="s">
        <v>1963</v>
      </c>
      <c r="C68" s="690"/>
      <c r="D68" s="860" t="s">
        <v>2053</v>
      </c>
      <c r="E68" s="630"/>
      <c r="F68" s="811" t="s">
        <v>2054</v>
      </c>
      <c r="G68" s="812" t="b">
        <v>0</v>
      </c>
      <c r="H68" s="473"/>
      <c r="I68" s="1090" t="s">
        <v>2059</v>
      </c>
      <c r="J68" s="870" t="s">
        <v>2277</v>
      </c>
      <c r="K68" s="871" t="s">
        <v>1924</v>
      </c>
      <c r="L68" s="870" t="s">
        <v>2278</v>
      </c>
      <c r="M68" s="1091" t="s">
        <v>1924</v>
      </c>
      <c r="N68" s="473"/>
      <c r="O68" s="853" t="s">
        <v>2279</v>
      </c>
      <c r="P68" s="854" t="s">
        <v>2280</v>
      </c>
      <c r="Q68" s="853" t="s">
        <v>1841</v>
      </c>
      <c r="R68" s="854" t="s">
        <v>2281</v>
      </c>
      <c r="S68" s="855" t="s">
        <v>2282</v>
      </c>
      <c r="T68" s="854" t="s">
        <v>2283</v>
      </c>
    </row>
    <row r="69" ht="19.5" customHeight="1">
      <c r="B69" s="836" t="s">
        <v>1965</v>
      </c>
      <c r="C69" s="837"/>
      <c r="D69" s="867" t="s">
        <v>1899</v>
      </c>
      <c r="E69" s="868"/>
      <c r="F69" s="798" t="s">
        <v>2058</v>
      </c>
      <c r="G69" s="799" t="b">
        <v>0</v>
      </c>
      <c r="H69" s="473"/>
      <c r="I69" s="1092" t="s">
        <v>2063</v>
      </c>
      <c r="J69" s="874" t="s">
        <v>2284</v>
      </c>
      <c r="K69" s="875" t="s">
        <v>1924</v>
      </c>
      <c r="L69" s="874" t="s">
        <v>2285</v>
      </c>
      <c r="M69" s="1093" t="s">
        <v>1924</v>
      </c>
      <c r="N69" s="473"/>
      <c r="O69" s="848" t="s">
        <v>2286</v>
      </c>
      <c r="P69" s="849" t="s">
        <v>2287</v>
      </c>
      <c r="Q69" s="848" t="s">
        <v>2288</v>
      </c>
      <c r="R69" s="849" t="s">
        <v>2289</v>
      </c>
      <c r="S69" s="850" t="s">
        <v>2219</v>
      </c>
      <c r="T69" s="849" t="s">
        <v>2290</v>
      </c>
    </row>
    <row r="70" ht="19.5" customHeight="1">
      <c r="B70" s="829" t="s">
        <v>1969</v>
      </c>
      <c r="C70" s="690"/>
      <c r="D70" s="549" t="s">
        <v>1903</v>
      </c>
      <c r="E70" s="830"/>
      <c r="F70" s="811" t="s">
        <v>2062</v>
      </c>
      <c r="G70" s="812" t="b">
        <v>0</v>
      </c>
      <c r="H70" s="473"/>
      <c r="I70" s="473"/>
      <c r="J70" s="473"/>
      <c r="K70" s="473"/>
      <c r="L70" s="473"/>
      <c r="M70" s="473"/>
      <c r="N70" s="473"/>
      <c r="O70" s="877" t="s">
        <v>2066</v>
      </c>
      <c r="P70" s="821"/>
      <c r="Q70" s="821"/>
      <c r="R70" s="821"/>
      <c r="S70" s="821"/>
      <c r="T70" s="822"/>
    </row>
    <row r="71" ht="19.5" customHeight="1">
      <c r="B71" s="836" t="s">
        <v>1973</v>
      </c>
      <c r="C71" s="837"/>
      <c r="D71" s="838" t="s">
        <v>1907</v>
      </c>
      <c r="E71" s="839"/>
      <c r="F71" s="798" t="s">
        <v>2067</v>
      </c>
      <c r="G71" s="799" t="b">
        <v>0</v>
      </c>
      <c r="H71" s="473"/>
      <c r="I71" s="491" t="s">
        <v>2068</v>
      </c>
      <c r="J71" s="492"/>
      <c r="K71" s="492"/>
      <c r="L71" s="492"/>
      <c r="M71" s="492"/>
      <c r="N71" s="493"/>
      <c r="O71" s="878"/>
      <c r="P71" s="879"/>
      <c r="Q71" s="879"/>
      <c r="R71" s="879"/>
      <c r="S71" s="879"/>
      <c r="T71" s="880"/>
    </row>
    <row r="72" ht="19.5" customHeight="1">
      <c r="B72" s="881" t="s">
        <v>1933</v>
      </c>
      <c r="C72" s="706"/>
      <c r="D72" s="549" t="s">
        <v>1910</v>
      </c>
      <c r="E72" s="830"/>
      <c r="F72" s="811" t="s">
        <v>1887</v>
      </c>
      <c r="G72" s="812" t="b">
        <v>0</v>
      </c>
      <c r="H72" s="473"/>
      <c r="I72" s="502"/>
      <c r="J72" s="503"/>
      <c r="K72" s="503"/>
      <c r="L72" s="503"/>
      <c r="M72" s="503"/>
      <c r="N72" s="504"/>
      <c r="O72" s="882" t="s">
        <v>65</v>
      </c>
      <c r="P72" s="883" t="s">
        <v>1928</v>
      </c>
      <c r="Q72" s="882" t="s">
        <v>65</v>
      </c>
      <c r="R72" s="883" t="s">
        <v>1928</v>
      </c>
      <c r="S72" s="882" t="s">
        <v>2069</v>
      </c>
      <c r="T72" s="884" t="s">
        <v>1928</v>
      </c>
    </row>
    <row r="73" ht="19.5" customHeight="1">
      <c r="B73" s="885" t="s">
        <v>1935</v>
      </c>
      <c r="C73" s="886"/>
      <c r="D73" s="887" t="s">
        <v>1913</v>
      </c>
      <c r="E73" s="888"/>
      <c r="F73" s="798" t="s">
        <v>2070</v>
      </c>
      <c r="G73" s="799" t="b">
        <v>0</v>
      </c>
      <c r="H73" s="473"/>
      <c r="I73" s="889" t="s">
        <v>2071</v>
      </c>
      <c r="J73" s="890">
        <f>(S4+D25)</f>
        <v>985</v>
      </c>
      <c r="K73" s="891" t="s">
        <v>1957</v>
      </c>
      <c r="L73" s="892">
        <f t="array" ref="L73">R42+E28+C65+IF(S46="АФ.ПИРО%",46.6,0)+IF(G53=TRUE, 15,0)+IF(G65=TRUE, 60,0)+IF(G71=TRUE, 40,0)+IF(G76=TRUE, 15,0)+IF(G79=TRUE, 20,0)+CHOOSE(MATCH(LOWER(TRIM(T74)),{"НЕ АКТИВ";"НЕ НАТЛАН";"НАТЛАН"}, 0), 0,12,40)+IF(T78=TRUE, 35, 0)+IF(P77=TRUE, 20, 0)+IF(P81=TRUE, 25.6, 0)+IF(F49=TRUE, 50,0)</f>
        <v>75.4</v>
      </c>
      <c r="M73" s="692" t="s">
        <v>1959</v>
      </c>
      <c r="N73" s="893" t="str">
        <f t="shared" ref="N73:N74" si="10">P29</f>
        <v/>
      </c>
      <c r="O73" s="229" t="s">
        <v>2072</v>
      </c>
      <c r="P73" s="894" t="b">
        <v>0</v>
      </c>
      <c r="Q73" s="229" t="s">
        <v>2073</v>
      </c>
      <c r="R73" s="895" t="b">
        <v>0</v>
      </c>
      <c r="S73" s="229" t="s">
        <v>1825</v>
      </c>
      <c r="T73" s="896" t="b">
        <v>0</v>
      </c>
    </row>
    <row r="74" ht="19.5" customHeight="1">
      <c r="B74" s="473"/>
      <c r="C74" s="473"/>
      <c r="D74" s="473"/>
      <c r="E74" s="473"/>
      <c r="F74" s="811" t="s">
        <v>1901</v>
      </c>
      <c r="G74" s="812" t="b">
        <v>0</v>
      </c>
      <c r="H74" s="473"/>
      <c r="I74" s="897" t="s">
        <v>2074</v>
      </c>
      <c r="J74" s="898">
        <f t="array" ref="J74">ROUND((J73)*(100%+R7%+R29%+C28%+C58%+P52%+IF(F39=true,60,0)%+IF(G76=TRUE, 10,0)%+IF(G65=TRUE, 40,0)%+IF(G61=TRUE, 30,0)% + IF(C13=TRUE, 25,0)%+IF(R6="СА%", S6, 0)% + IF(S43="СА%", 46.6,0)% + IF(S46="СА%", 46.6,0)% + IF(S49="СА%", 46.6,0 )%+IF(T75=TRUE, 20, 0)%+IF(T76=TRUE, 20, 0)%+IF(P73=TRUE, 20, 0)%+IF(P74=TRUE, 48, 0)%+IF(P75=TRUE, 40, 0)%+IF(P76=TRUE, 20, 0)%+IF(P80=TRUE, 32, 0)%+CHOOSE(MATCH(LOWER(TRIM(R82)),{"НЕ АКТИВ";"НЕ ШАБАШ";"ШАБАШ"}, 0), 0,16,28)%)+(T33 + R55 + E62 +IF(G53=TRUE, 1202,0)+IF(G61=TRUE, 810,0)+IF(R2="ОМУТ",J78*XLOOKUP(T4,{"РП1"; "РП2"; "РП3"; "РП4";"РП5"},{1.2; 1.5; 1.8; 2.1; 2.4})%,0)+IF(R2="АКВАМАРИН",J75*XLOOKUP(T4,{"РП1"; "РП2"; "РП3"; "РП4";"РП5"},{24; 30; 36; 42; 48})%,0)+IF(R2="СКИТАЮЩИЙСЯ",J75*XLOOKUP(T4,{"РП1"; "РП2"; "РП3"; "РП4";"РП5"},{24; 30; 36; 42; 48})%,0)+IF(R2="ФИНАЛ ГЛУБИН",XLOOKUP(T4,{"РП1"; "РП2"; "РП3"; "РП4";"РП5"},{150; 187.5; 225; 262.5; 300}),0)+IF(R2="ПОСОХ ПЕСКОВ",J75*XLOOKUP(T4,{"РП1";"РП2";"РП3";"РП4";"РП5"},{52%;65%;78%;91%;104%})+MIN(IF(S11="НЕТ",0,S11),3)*J75*XLOOKUP(T4,{"РП1";"РП2";"РП3";"РП4";"РП5"},{28%;35%;42%;49%;56%}),0)+IF(R2="ПОСОХ ХОМЫ",J78*XLOOKUP(T4,{"РП1"; "РП2"; "РП3"; "РП4";"РП5"},{0.8+IF(T11=TRUE, 1,0); 1+IF(T11=TRUE, 1.2,0); 1.2+IF(T11=TRUE, 1.4,0); 1.4+IF(T11=TRUE, 1.6,0); 1.6+IF(T11=TRUE, 1.8,0)})%,0)+IF(R75=TRUE,R74*0.48*0.3,0)+IF(R81=TRUE,R80*0.48*0.3,0)),0)</f>
        <v>2106</v>
      </c>
      <c r="K74" s="899" t="s">
        <v>1958</v>
      </c>
      <c r="L74" s="900">
        <f t="array" ref="L74">R43+E29+C66+IF(S46="АФ.ГИДРО%",46.6,0)+IF(G71=TRUE, 40,0)+IF(G79=TRUE, 20,0)+CHOOSE(MATCH(LOWER(TRIM(T74)),{"НЕ АКТИВ";"НЕ НАТЛАН";"НАТЛАН"}, 0), 0,12,40)+IF(T78=TRUE, 35, 0)+IF(P77=TRUE, 20, 0)+IF(P81=TRUE, 25.6, 0)</f>
        <v>0</v>
      </c>
      <c r="M74" s="699" t="s">
        <v>1961</v>
      </c>
      <c r="N74" s="901" t="str">
        <f t="shared" si="10"/>
        <v/>
      </c>
      <c r="O74" s="156" t="s">
        <v>2075</v>
      </c>
      <c r="P74" s="902" t="b">
        <v>0</v>
      </c>
      <c r="Q74" s="903" t="s">
        <v>2076</v>
      </c>
      <c r="R74" s="904">
        <v>1000.0</v>
      </c>
      <c r="S74" s="156" t="s">
        <v>2077</v>
      </c>
      <c r="T74" s="905" t="s">
        <v>2078</v>
      </c>
    </row>
    <row r="75" ht="19.5" customHeight="1">
      <c r="B75" s="906" t="s">
        <v>2079</v>
      </c>
      <c r="C75" s="907"/>
      <c r="D75" s="907"/>
      <c r="E75" s="908"/>
      <c r="F75" s="798" t="s">
        <v>2080</v>
      </c>
      <c r="G75" s="799" t="b">
        <v>0</v>
      </c>
      <c r="H75" s="473"/>
      <c r="I75" s="909" t="s">
        <v>1967</v>
      </c>
      <c r="J75" s="910">
        <f t="array" ref="J75">T17+T32+R56+C34+E61 + IF(C17=TRUE, 50,0)+CHOOSE(MATCH(LOWER(TRIM(D17)),{"50 МС";"20 МС";"30 МС";"НЕТ"}, 0), 50,20,30,0)+IF(R6="МС", S6,0) + IF(S43="МС", 187,0) + IF(S46="МС", 187,0) + IF(S49="МС", 187,0) +IF(G56=TRUE, K67*6%,0)+IF(G59=TRUE, 80,0)+IF(G66=TRUE, 250,0)+IF(G67=TRUE, 100,0)+IF(G72=TRUE, 125,0)+IF(G79=TRUE, 230,0)+CHOOSE(MATCH(LOWER(TRIM(T80)),{"НЕ АКТИВ";"1 НОД";"2 НОДА"}, 0), 0,60,120)+IF(T81=TRUE,120,0)+IF(P73=TRUE, 100, 0)+IF(P78=TRUE, 40, 0)+IF(R77=TRUE, R76*0.002, 0)+IF(R83=TRUE, 120, 0)</f>
        <v>70</v>
      </c>
      <c r="K75" s="911" t="s">
        <v>1960</v>
      </c>
      <c r="L75" s="912">
        <f t="array" ref="L75">R44+E30+C67+IF(S46="АФ.ЭЛЕКТРО%",46.6,0)+IF(G65=TRUE, 60,0)+IF(G71=TRUE, 40,0)+IF(G79=TRUE, 20,0)+CHOOSE(MATCH(LOWER(TRIM(T74)),{"НЕ АКТИВ";"НЕ НАТЛАН";"НАТЛАН"}, 0), 0,12,40)+IF(T78=TRUE, 35, 0)+IF(P77=TRUE, 20, 0)+IF(P81=TRUE, 25.6, 0)</f>
        <v>0</v>
      </c>
      <c r="M75" s="692" t="s">
        <v>2081</v>
      </c>
      <c r="N75" s="893">
        <f>P31+IF(G78=TRUE, 40,0)</f>
        <v>0</v>
      </c>
      <c r="O75" s="229" t="s">
        <v>2082</v>
      </c>
      <c r="P75" s="894" t="b">
        <v>0</v>
      </c>
      <c r="Q75" s="913"/>
      <c r="R75" s="914" t="b">
        <v>0</v>
      </c>
      <c r="S75" s="229" t="s">
        <v>2083</v>
      </c>
      <c r="T75" s="896" t="b">
        <v>0</v>
      </c>
    </row>
    <row r="76" ht="19.5" customHeight="1">
      <c r="B76" s="915"/>
      <c r="C76" s="662"/>
      <c r="D76" s="662"/>
      <c r="E76" s="916"/>
      <c r="F76" s="811" t="s">
        <v>2084</v>
      </c>
      <c r="G76" s="812" t="b">
        <v>0</v>
      </c>
      <c r="H76" s="473"/>
      <c r="I76" s="897" t="s">
        <v>1885</v>
      </c>
      <c r="J76" s="917">
        <f>50+(T7+T29+R52+C31+E58 +IF(R6="КУ%",S6,0)+IF(S49="КУ%",62.2,0)+IF(G68=TRUE,40,0)+IF(G75=TRUE, 40,0))</f>
        <v>217.1</v>
      </c>
      <c r="K76" s="899" t="s">
        <v>1963</v>
      </c>
      <c r="L76" s="900">
        <f t="array" ref="L76">R41+E31+C68+IF(S46="АФ.КРИО%",46.6,0)+IF(G71=TRUE, 40,0)+IF(G79=TRUE, 20,0)+CHOOSE(MATCH(LOWER(TRIM(T74)),{"НЕ АКТИВ";"НЕ НАТЛАН";"НАТЛАН"}, 0), 0,12,40)+IF(T78=TRUE, 35, 0)+IF(P77=TRUE, 20, 0)+IF(P81=TRUE, 25.6, 0)</f>
        <v>0</v>
      </c>
      <c r="M76" s="699" t="s">
        <v>1934</v>
      </c>
      <c r="N76" s="901">
        <f>P32+T19+IF(G59=TRUE, 35,0)+IF(G67=TRUE, 400,0)+IF(G78=TRUE, 100,0)+IF(P83=TRUE, 120,0)</f>
        <v>0</v>
      </c>
      <c r="O76" s="156" t="s">
        <v>2085</v>
      </c>
      <c r="P76" s="902" t="b">
        <v>0</v>
      </c>
      <c r="Q76" s="903" t="s">
        <v>2086</v>
      </c>
      <c r="R76" s="918">
        <v>50000.0</v>
      </c>
      <c r="S76" s="156" t="s">
        <v>1832</v>
      </c>
      <c r="T76" s="905" t="b">
        <v>0</v>
      </c>
    </row>
    <row r="77" ht="19.5" customHeight="1">
      <c r="B77" s="919" t="s">
        <v>2087</v>
      </c>
      <c r="C77" s="920">
        <v>90.0</v>
      </c>
      <c r="D77" s="921" t="s">
        <v>2088</v>
      </c>
      <c r="E77" s="922">
        <v>950.0</v>
      </c>
      <c r="F77" s="798" t="s">
        <v>2089</v>
      </c>
      <c r="G77" s="799" t="b">
        <v>0</v>
      </c>
      <c r="H77" s="473"/>
      <c r="I77" s="909" t="s">
        <v>2090</v>
      </c>
      <c r="J77" s="923">
        <f>5+(C32+T8+T30+R53+IF(C15=TRUE, 15,0)+E59+IF(R6="ШК%",S6,0)+IF(S49="ШК%",31.1,0))</f>
        <v>89.6</v>
      </c>
      <c r="K77" s="911" t="s">
        <v>1965</v>
      </c>
      <c r="L77" s="912">
        <f t="array" ref="L77">R45+E32+C69+IF(S46="АФ.ГЕО%",46.6,0)+IF(G75=TRUE, 15,0)+CHOOSE(MATCH(LOWER(TRIM(T74)),{"НЕ АКТИВ";"НЕ НАТЛАН";"НАТЛАН"}, 0), 0,12,40)+IF(P77=TRUE, 20, 0)+IF(P81=TRUE, 25.6, 0)</f>
        <v>0</v>
      </c>
      <c r="M77" s="692" t="s">
        <v>2091</v>
      </c>
      <c r="N77" s="893">
        <f t="array" ref="N77">P33+T21+MIN(CHOOSE(MATCH(LOWER(TRIM(C18)),{"ПИРО ПЕРС";"КРИО ПЕРС";"ЭЛЕКТ. ПЕРС";"ГИДРО ПЕРС";"ГЕО ПЕРС";"АНЕМО ПЕРС";"ДЕНД. ПЕРС"}, 0), (D18/100)*0.9,(D18/100)*0.9,(D18/100)*0.9,(D18/1000)*0.6,(D18/100)*1,(D18/100)*2.25,(D18/100)*2.25),36)+IF(G59=TRUE, 35,0)+IF(G78=TRUE, 35,0)+CHOOSE(MATCH(LOWER(TRIM(T80)),{"НЕ АКТИВ";"1 НОД";"2 НОДА"}, 0), 0,10,20)+CHOOSE(MATCH(LOWER(TRIM(T82)),{"НЕ АКТИВ";"1 НОД";"2 НОДА"}, 0), 0,10,20)+IF(P83=TRUE, 40,0)</f>
        <v>0</v>
      </c>
      <c r="O77" s="229" t="s">
        <v>2092</v>
      </c>
      <c r="P77" s="894" t="b">
        <v>0</v>
      </c>
      <c r="Q77" s="913"/>
      <c r="R77" s="895" t="b">
        <v>0</v>
      </c>
      <c r="S77" s="229" t="s">
        <v>2093</v>
      </c>
      <c r="T77" s="896" t="b">
        <v>0</v>
      </c>
    </row>
    <row r="78" ht="19.5" customHeight="1">
      <c r="B78" s="924" t="s">
        <v>2094</v>
      </c>
      <c r="C78" s="925">
        <f>0</f>
        <v>0</v>
      </c>
      <c r="D78" s="926" t="s">
        <v>2095</v>
      </c>
      <c r="E78" s="927">
        <f>IF(F41=TRUE, 23,0)</f>
        <v>0</v>
      </c>
      <c r="F78" s="928" t="s">
        <v>2096</v>
      </c>
      <c r="G78" s="929" t="b">
        <v>0</v>
      </c>
      <c r="H78" s="473"/>
      <c r="I78" s="930" t="s">
        <v>2097</v>
      </c>
      <c r="J78" s="931">
        <f>ROUND((C26)*(100%+R8%+R30%+P54%+C29%+C59%+IF(C14=TRUE,25,0)%+IF(R6="ХП%",S6,0)%+IF(S43="ХП%",46.6,0)%+IF(S46="ХП%",46.6,0)%+IF(S49="ХП%",46.6,0)%)+(R33+P55+C62),0)</f>
        <v>20101</v>
      </c>
      <c r="K78" s="899" t="s">
        <v>1969</v>
      </c>
      <c r="L78" s="900">
        <f t="array" ref="L78">R46+E33+C70+IF(S46="АФ.АНЕМО%",46.6,0)+IF(G68=TRUE, 38.3,0)+CHOOSE(MATCH(LOWER(TRIM(T74)),{"НЕ АКТИВ";"НЕ НАТЛАН";"НАТЛАН"}, 0), 0,12,40)+IF(P77=TRUE, 20, 0)+IF(P81=TRUE, 25.6, 0)</f>
        <v>0</v>
      </c>
      <c r="M78" s="699" t="s">
        <v>1974</v>
      </c>
      <c r="N78" s="901">
        <f>P34+T18+IF(G78=TRUE, 100,0)+IF(P83=TRUE, 80,0)</f>
        <v>0</v>
      </c>
      <c r="O78" s="156" t="s">
        <v>2098</v>
      </c>
      <c r="P78" s="902" t="b">
        <v>0</v>
      </c>
      <c r="Q78" s="903" t="s">
        <v>2099</v>
      </c>
      <c r="R78" s="904">
        <v>1000.0</v>
      </c>
      <c r="S78" s="156" t="s">
        <v>2100</v>
      </c>
      <c r="T78" s="905" t="b">
        <v>0</v>
      </c>
    </row>
    <row r="79" ht="19.5" customHeight="1">
      <c r="B79" s="932" t="s">
        <v>2101</v>
      </c>
      <c r="C79" s="677"/>
      <c r="D79" s="933">
        <f>(D23+100)/((D23+100)+(C77+100)*(1-E78%)*(1-C78%))</f>
        <v>0.5</v>
      </c>
      <c r="E79" s="934"/>
      <c r="F79" s="798" t="s">
        <v>2102</v>
      </c>
      <c r="G79" s="799" t="b">
        <v>0</v>
      </c>
      <c r="H79" s="473"/>
      <c r="I79" s="909" t="s">
        <v>2103</v>
      </c>
      <c r="J79" s="910">
        <f>ROUND((E26)*(100%+R9%+C30%+R31%+P53%+C60% +IF(R6="ЗЩ%", S6,0)% +IF(S43="ЗЩ%",58.3,0)% +IF(S46="ЗЩ%",58.3,0)% +IF(S49="ЗЩ%",58.3,0)%)+(C61+P56+IF(G75=TRUE, 438,0)),0)</f>
        <v>809</v>
      </c>
      <c r="K79" s="911" t="s">
        <v>1973</v>
      </c>
      <c r="L79" s="912">
        <f t="array" ref="L79">(R47+E34+C71+IF(S46="АФ.ДЕНДРО%",46.6,0))+CHOOSE(MATCH(LOWER(TRIM(T74)),{"НЕ АКТИВ";"НЕ НАТЛАН";"НАТЛАН"}, 0), 0,12,40)+IF(P77=TRUE, 20, 0)+IF(P81=TRUE, 25.6, 0)</f>
        <v>0</v>
      </c>
      <c r="M79" s="692" t="s">
        <v>1976</v>
      </c>
      <c r="N79" s="893">
        <f>P35+T18+IF(G78=TRUE, 100,0)+IF(P83=TRUE, 80,0)</f>
        <v>0</v>
      </c>
      <c r="O79" s="229" t="s">
        <v>2104</v>
      </c>
      <c r="P79" s="894" t="b">
        <v>0</v>
      </c>
      <c r="Q79" s="913"/>
      <c r="R79" s="935" t="b">
        <v>0</v>
      </c>
      <c r="S79" s="229" t="s">
        <v>1850</v>
      </c>
      <c r="T79" s="896" t="b">
        <v>0</v>
      </c>
    </row>
    <row r="80" ht="19.5" customHeight="1">
      <c r="B80" s="936" t="s">
        <v>1904</v>
      </c>
      <c r="C80" s="937">
        <f t="shared" ref="C80:C83" si="11">IF(C85&lt;0, C85/2, IF(AND(C85&gt;=0, C85&lt;75),C85, IF(C85&gt;=75, 75, C85)))</f>
        <v>10</v>
      </c>
      <c r="D80" s="938" t="s">
        <v>1917</v>
      </c>
      <c r="E80" s="939">
        <f t="shared" ref="E80:E83" si="12">IF(E85&lt;0, E85/2, IF(AND(E85&gt;=0, E85&lt;75),E85, IF(E85&gt;=75, 75, E85)))</f>
        <v>10</v>
      </c>
      <c r="F80" s="473"/>
      <c r="G80" s="473"/>
      <c r="H80" s="473"/>
      <c r="I80" s="940" t="s">
        <v>2105</v>
      </c>
      <c r="J80" s="941">
        <f>100+(T9+C33+T31+R54+E60+IF(R6="ВЭ%", S6,0)+IF(S43="ВЭ%",51.8,0)+IF(R79=TRUE, R78*0.072*0.3, 0))</f>
        <v>125.3</v>
      </c>
      <c r="K80" s="942" t="s">
        <v>1896</v>
      </c>
      <c r="L80" s="943">
        <f>(R35+E35+C64+IF(R6="ФИЗ%",S6,0)+IF(S46="АФ.ФИЗ.%",58.3,0))</f>
        <v>0</v>
      </c>
      <c r="M80" s="699" t="s">
        <v>1943</v>
      </c>
      <c r="N80" s="901">
        <f>P36+IF(G59=TRUE, 35,0)</f>
        <v>0</v>
      </c>
      <c r="O80" s="156" t="s">
        <v>2106</v>
      </c>
      <c r="P80" s="902" t="b">
        <v>0</v>
      </c>
      <c r="Q80" s="903" t="s">
        <v>2107</v>
      </c>
      <c r="R80" s="904">
        <v>1000.0</v>
      </c>
      <c r="S80" s="156" t="s">
        <v>2108</v>
      </c>
      <c r="T80" s="905" t="s">
        <v>2078</v>
      </c>
    </row>
    <row r="81" ht="19.5" customHeight="1">
      <c r="B81" s="944" t="s">
        <v>1908</v>
      </c>
      <c r="C81" s="830">
        <f t="shared" si="11"/>
        <v>10</v>
      </c>
      <c r="D81" s="860" t="s">
        <v>2109</v>
      </c>
      <c r="E81" s="945">
        <f t="shared" si="12"/>
        <v>10</v>
      </c>
      <c r="F81" s="473"/>
      <c r="G81" s="473"/>
      <c r="H81" s="473"/>
      <c r="I81" s="909" t="s">
        <v>2110</v>
      </c>
      <c r="J81" s="946">
        <f>(C35+R19+C72+R48 +IF(S49="БОНУС ЛЕЧЕНИЕ",35.9,0))</f>
        <v>0</v>
      </c>
      <c r="K81" s="947" t="s">
        <v>2111</v>
      </c>
      <c r="L81" s="948">
        <f>R17+R32+E63+IF(G77=TRUE, 2050,0)</f>
        <v>0</v>
      </c>
      <c r="M81" s="692" t="s">
        <v>2112</v>
      </c>
      <c r="N81" s="893">
        <f t="array" ref="N81">P37+T20+MIN(CHOOSE(MATCH(LOWER(TRIM(C18)),{"ПИРО ПЕРС";"КРИО ПЕРС";"ЭЛЕКТ. ПЕРС";"ГИДРО ПЕРС";"ГЕО ПЕРС";"АНЕМО ПЕРС";"ДЕНД. ПЕРС"}, 0), (D18/100)*0.9,(D18/100)*0.9,(D18/100)*0.9,(D18/1000)*0.6,(D18/100)*1,(D18/100)*2.25,(D18/100)*2.25),36)+IF(G59=TRUE, 35,0)+IF(P82=TRUE, 40, 0)+CHOOSE(MATCH(LOWER(TRIM(T80)),{"НЕ АКТИВ";"1 НОД";"2 НОДА"}, 0), 0,10,20)+CHOOSE(MATCH(LOWER(TRIM(T82)),{"НЕ АКТИВ";"1 НОД";"2 НОДА"}, 0), 0,10,20)</f>
        <v>0</v>
      </c>
      <c r="O81" s="229" t="s">
        <v>2113</v>
      </c>
      <c r="P81" s="894" t="b">
        <v>0</v>
      </c>
      <c r="Q81" s="913"/>
      <c r="R81" s="935" t="b">
        <v>0</v>
      </c>
      <c r="S81" s="229" t="s">
        <v>1828</v>
      </c>
      <c r="T81" s="896" t="b">
        <v>0</v>
      </c>
    </row>
    <row r="82" ht="19.5" customHeight="1">
      <c r="B82" s="936" t="s">
        <v>2114</v>
      </c>
      <c r="C82" s="937">
        <f t="shared" si="11"/>
        <v>10</v>
      </c>
      <c r="D82" s="938" t="s">
        <v>1914</v>
      </c>
      <c r="E82" s="939">
        <f t="shared" si="12"/>
        <v>10</v>
      </c>
      <c r="F82" s="473"/>
      <c r="G82" s="473"/>
      <c r="H82" s="473"/>
      <c r="I82" s="897" t="s">
        <v>2115</v>
      </c>
      <c r="J82" s="949">
        <f>IF(G54=TRUE, 30,0)</f>
        <v>0</v>
      </c>
      <c r="K82" s="897" t="s">
        <v>2116</v>
      </c>
      <c r="L82" s="898">
        <f>E64+R18</f>
        <v>0</v>
      </c>
      <c r="M82" s="699" t="s">
        <v>1980</v>
      </c>
      <c r="N82" s="901" t="str">
        <f>P38</f>
        <v/>
      </c>
      <c r="O82" s="950" t="s">
        <v>2117</v>
      </c>
      <c r="P82" s="951" t="b">
        <v>0</v>
      </c>
      <c r="Q82" s="950" t="s">
        <v>2118</v>
      </c>
      <c r="R82" s="952" t="s">
        <v>2078</v>
      </c>
      <c r="S82" s="156" t="s">
        <v>1827</v>
      </c>
      <c r="T82" s="953" t="s">
        <v>2078</v>
      </c>
    </row>
    <row r="83" ht="19.5" customHeight="1">
      <c r="B83" s="944" t="s">
        <v>1911</v>
      </c>
      <c r="C83" s="830">
        <f t="shared" si="11"/>
        <v>10</v>
      </c>
      <c r="D83" s="860" t="s">
        <v>2119</v>
      </c>
      <c r="E83" s="945">
        <f t="shared" si="12"/>
        <v>10</v>
      </c>
      <c r="F83" s="473"/>
      <c r="G83" s="473"/>
      <c r="H83" s="473"/>
      <c r="I83" s="954" t="s">
        <v>1935</v>
      </c>
      <c r="J83" s="955">
        <f>(R20+R49+C73+IF(C16=TRUE, 15,0))+IF(T76=TRUE, 30, 0)</f>
        <v>0</v>
      </c>
      <c r="K83" s="909" t="s">
        <v>2120</v>
      </c>
      <c r="L83" s="910">
        <f>E65+IF(G64=TRUE, 6600,0)</f>
        <v>0</v>
      </c>
      <c r="M83" s="956" t="s">
        <v>1983</v>
      </c>
      <c r="N83" s="893">
        <f>P39+IF(G78=TRUE, 100,0)</f>
        <v>0</v>
      </c>
      <c r="O83" s="957" t="s">
        <v>2121</v>
      </c>
      <c r="P83" s="958" t="b">
        <v>0</v>
      </c>
      <c r="Q83" s="957" t="s">
        <v>2122</v>
      </c>
      <c r="R83" s="958" t="b">
        <v>0</v>
      </c>
      <c r="S83" s="957" t="s">
        <v>59</v>
      </c>
      <c r="T83" s="959" t="s">
        <v>59</v>
      </c>
    </row>
    <row r="84" ht="19.5" customHeight="1">
      <c r="B84" s="960" t="s">
        <v>2123</v>
      </c>
      <c r="C84" s="677"/>
      <c r="D84" s="677"/>
      <c r="E84" s="934"/>
      <c r="F84" s="473"/>
      <c r="G84" s="473"/>
      <c r="H84" s="473"/>
      <c r="I84" s="897" t="s">
        <v>1899</v>
      </c>
      <c r="J84" s="949">
        <f t="shared" ref="J84:J85" si="13">(R11+R36+E69)</f>
        <v>0</v>
      </c>
      <c r="K84" s="897" t="s">
        <v>2047</v>
      </c>
      <c r="L84" s="898">
        <f t="array" ref="L84">E66+IF(G63=TRUE, 2800,0)+IF(R2="ЛИСТВЕННЫЙ РАЗРЕЗ",J75*XLOOKUP(T4,{"РП1"; "РП2"; "РП3"; "РП4";"РП5"},{120; 150; 180; 210; 240})%,0)+IF(R2="КИНОВАР",J79*XLOOKUP(T4,{"РП1"; "РП2"; "РП3"; "РП4";"РП5"},{40; 50; 60; 70; 80})%,0)</f>
        <v>0</v>
      </c>
      <c r="M84" s="961" t="s">
        <v>1984</v>
      </c>
      <c r="N84" s="901" t="str">
        <f t="shared" ref="N84:N86" si="14">P40</f>
        <v/>
      </c>
      <c r="O84" s="473"/>
      <c r="P84" s="473"/>
      <c r="Q84" s="962"/>
      <c r="R84" s="962"/>
      <c r="S84" s="473"/>
      <c r="T84" s="473"/>
    </row>
    <row r="85" ht="19.5" customHeight="1">
      <c r="B85" s="944" t="s">
        <v>1904</v>
      </c>
      <c r="C85" s="963">
        <f>10+IF(R27="ТЕНЬ", -40,0)+IF(G57=TRUE, -36,0)+IF(G58=TRUE, -20,0)+IF(G65=TRUE, -40,0)+IF(G73=TRUE, -20,0)+IF(G74=TRUE, -35,0)+IF(G76=TRUE, -15,0)+IF(T73=TRUE, -40, 0)</f>
        <v>10</v>
      </c>
      <c r="D85" s="860" t="s">
        <v>1917</v>
      </c>
      <c r="E85" s="945">
        <f>10+IF(R27="ДРЕМУЧИЙ ЛЕС", IF(T35=TRUE, -30,0),0)+IF(G55=TRUE, -25,0)+IF(G73=TRUE, -20,0)+IF(G74=TRUE, -35,0)</f>
        <v>10</v>
      </c>
      <c r="F85" s="473"/>
      <c r="G85" s="473"/>
      <c r="H85" s="473"/>
      <c r="I85" s="909" t="s">
        <v>1903</v>
      </c>
      <c r="J85" s="946">
        <f t="shared" si="13"/>
        <v>0</v>
      </c>
      <c r="K85" s="909" t="s">
        <v>2050</v>
      </c>
      <c r="L85" s="910" t="str">
        <f>E67</f>
        <v/>
      </c>
      <c r="M85" s="956" t="s">
        <v>1987</v>
      </c>
      <c r="N85" s="893" t="str">
        <f t="shared" si="14"/>
        <v/>
      </c>
      <c r="O85" s="473"/>
      <c r="P85" s="473"/>
      <c r="Q85" s="962"/>
      <c r="R85" s="962"/>
      <c r="S85" s="473"/>
      <c r="T85" s="473"/>
    </row>
    <row r="86" ht="19.5" customHeight="1">
      <c r="B86" s="936" t="s">
        <v>1908</v>
      </c>
      <c r="C86" s="964">
        <f>10+IF(R27="ТЕНЬ", -40,0)+IF(G57=TRUE, -36,0)+IF(G58=TRUE, -20,0)+IF(G60=TRUE, -55,0)+IF(G73=TRUE, -20,0)+IF(T73=TRUE, -40, 0)</f>
        <v>10</v>
      </c>
      <c r="D86" s="938" t="s">
        <v>2109</v>
      </c>
      <c r="E86" s="939">
        <f>10+IF(G73=TRUE, -20,0)+IF(G74=TRUE, -35,0)+IF(G68=TRUE, -30,0)</f>
        <v>10</v>
      </c>
      <c r="F86" s="473"/>
      <c r="G86" s="473"/>
      <c r="H86" s="473"/>
      <c r="I86" s="897" t="s">
        <v>1907</v>
      </c>
      <c r="J86" s="949">
        <f>R13+R38+E71+IF(G77=TRUE, 15,0)+IF(P76=TRUE, 16, 0)</f>
        <v>63</v>
      </c>
      <c r="K86" s="897" t="s">
        <v>2124</v>
      </c>
      <c r="L86" s="965">
        <f>E68+IF(G70=TRUE, 2630,0)+IF(G68=TRUE, 258,0)+IF(T79=TRUE, 1200, 0)</f>
        <v>0</v>
      </c>
      <c r="M86" s="961" t="s">
        <v>2125</v>
      </c>
      <c r="N86" s="901" t="str">
        <f t="shared" si="14"/>
        <v/>
      </c>
      <c r="O86" s="473"/>
      <c r="P86" s="473"/>
      <c r="Q86" s="962"/>
      <c r="R86" s="962"/>
      <c r="S86" s="473"/>
      <c r="T86" s="473"/>
    </row>
    <row r="87" ht="19.5" customHeight="1">
      <c r="B87" s="944" t="s">
        <v>2114</v>
      </c>
      <c r="C87" s="963">
        <f>10+IF(R27="ТЕНЬ", -40,0)+IF(G57=TRUE, -36,0)+IF(G65=TRUE, -40,0)+IF(G73=TRUE, -20,0)+IF(G74=TRUE, -35,0)+IF(T73=TRUE, -40, 0)</f>
        <v>10</v>
      </c>
      <c r="D87" s="860" t="s">
        <v>1914</v>
      </c>
      <c r="E87" s="945">
        <f>10+IF(C16=TRUE, -20, 0)+IF(G57=TRUE, -36,0)+IF(G73=TRUE, -20,0)+IF(G74=TRUE, -35,0)</f>
        <v>10</v>
      </c>
      <c r="F87" s="473"/>
      <c r="G87" s="473"/>
      <c r="H87" s="473"/>
      <c r="I87" s="909" t="s">
        <v>1910</v>
      </c>
      <c r="J87" s="946">
        <f>(R14+R39+E72)+IF(P76=TRUE, 16, 0)+IF(D43=true,50,0)</f>
        <v>107</v>
      </c>
      <c r="K87" s="966" t="s">
        <v>2126</v>
      </c>
      <c r="L87" s="967">
        <f>(R16+R34+C63+IF(D16=TRUE, 15,0)+IF(G54=TRUE, 65,0)+IF(G61=TRUE, 25,0)+IF(G62=TRUE, 24,0)+IF(G69=TRUE, 22.5,0)+IF(G72=TRUE, 12,0)+IF(P79=TRUE, 28, 0))</f>
        <v>0</v>
      </c>
      <c r="M87" s="968" t="s">
        <v>2127</v>
      </c>
      <c r="N87" s="969"/>
      <c r="O87" s="473"/>
      <c r="P87" s="473"/>
      <c r="Q87" s="962"/>
      <c r="R87" s="962"/>
      <c r="S87" s="473"/>
      <c r="T87" s="473"/>
    </row>
    <row r="88" ht="19.5" customHeight="1">
      <c r="B88" s="936" t="s">
        <v>1911</v>
      </c>
      <c r="C88" s="964">
        <f>10+IF(R27="ТЕНЬ", -40,0)+IF(G57=TRUE, -36,0)+IF(G60=TRUE, -55,0)+IF(G73=TRUE, -20,0)+IF(T73=TRUE, -40, 0)</f>
        <v>10</v>
      </c>
      <c r="D88" s="938" t="s">
        <v>2119</v>
      </c>
      <c r="E88" s="939">
        <f>10+IF(G73=TRUE, -20,0)+IF(E89=TRUE, -40,0)</f>
        <v>10</v>
      </c>
      <c r="F88" s="473"/>
      <c r="G88" s="473"/>
      <c r="H88" s="473"/>
      <c r="I88" s="970" t="s">
        <v>1913</v>
      </c>
      <c r="J88" s="971">
        <f>(R15+R40+E73)+IF(P76=TRUE, 16, 0)+IF(R73=TRUE, 28, 0)</f>
        <v>0</v>
      </c>
      <c r="K88" s="972" t="s">
        <v>1939</v>
      </c>
      <c r="L88" s="973" t="str">
        <f t="shared" ref="L88:L92" si="15">R21</f>
        <v/>
      </c>
      <c r="M88" s="473"/>
      <c r="N88" s="473"/>
      <c r="O88" s="473"/>
      <c r="P88" s="473"/>
      <c r="Q88" s="962"/>
      <c r="R88" s="962"/>
      <c r="S88" s="473"/>
      <c r="T88" s="473"/>
    </row>
    <row r="89" ht="19.5" customHeight="1">
      <c r="B89" s="974" t="s">
        <v>2128</v>
      </c>
      <c r="C89" s="975"/>
      <c r="D89" s="975"/>
      <c r="E89" s="976" t="b">
        <v>0</v>
      </c>
      <c r="F89" s="473"/>
      <c r="G89" s="473"/>
      <c r="H89" s="473"/>
      <c r="I89" s="977" t="s">
        <v>1938</v>
      </c>
      <c r="J89" s="978" t="str">
        <f t="shared" ref="J89:J93" si="16">P21</f>
        <v/>
      </c>
      <c r="K89" s="979" t="s">
        <v>1942</v>
      </c>
      <c r="L89" s="980" t="str">
        <f t="shared" si="15"/>
        <v/>
      </c>
      <c r="M89" s="473"/>
      <c r="N89" s="473"/>
      <c r="O89" s="473"/>
      <c r="P89" s="473"/>
      <c r="Q89" s="473"/>
      <c r="R89" s="473"/>
      <c r="S89" s="473"/>
      <c r="T89" s="473"/>
    </row>
    <row r="90" ht="19.5" customHeight="1">
      <c r="B90" s="473"/>
      <c r="C90" s="473"/>
      <c r="D90" s="473"/>
      <c r="E90" s="473"/>
      <c r="F90" s="473"/>
      <c r="G90" s="473"/>
      <c r="H90" s="473"/>
      <c r="I90" s="981" t="s">
        <v>1941</v>
      </c>
      <c r="J90" s="982" t="str">
        <f t="shared" si="16"/>
        <v/>
      </c>
      <c r="K90" s="983" t="s">
        <v>1946</v>
      </c>
      <c r="L90" s="984" t="str">
        <f t="shared" si="15"/>
        <v/>
      </c>
      <c r="M90" s="473"/>
      <c r="N90" s="473"/>
      <c r="O90" s="473"/>
      <c r="P90" s="473"/>
      <c r="Q90" s="473"/>
      <c r="R90" s="473"/>
      <c r="S90" s="473"/>
      <c r="T90" s="473"/>
    </row>
    <row r="91" ht="19.5" customHeight="1">
      <c r="B91" s="473"/>
      <c r="C91" s="473"/>
      <c r="D91" s="473"/>
      <c r="E91" s="473"/>
      <c r="F91" s="473"/>
      <c r="G91" s="473"/>
      <c r="H91" s="473"/>
      <c r="I91" s="985" t="s">
        <v>1945</v>
      </c>
      <c r="J91" s="538" t="str">
        <f t="shared" si="16"/>
        <v/>
      </c>
      <c r="K91" s="979" t="s">
        <v>1948</v>
      </c>
      <c r="L91" s="980" t="str">
        <f t="shared" si="15"/>
        <v/>
      </c>
      <c r="M91" s="473"/>
      <c r="N91" s="473"/>
      <c r="O91" s="473"/>
      <c r="P91" s="473"/>
      <c r="Q91" s="473"/>
      <c r="R91" s="473"/>
      <c r="S91" s="473"/>
      <c r="T91" s="473"/>
    </row>
    <row r="92" ht="19.5" customHeight="1">
      <c r="B92" s="473"/>
      <c r="C92" s="473"/>
      <c r="D92" s="473"/>
      <c r="E92" s="473"/>
      <c r="F92" s="473"/>
      <c r="G92" s="473"/>
      <c r="H92" s="473"/>
      <c r="I92" s="981" t="s">
        <v>1947</v>
      </c>
      <c r="J92" s="982" t="str">
        <f t="shared" si="16"/>
        <v/>
      </c>
      <c r="K92" s="986" t="s">
        <v>1951</v>
      </c>
      <c r="L92" s="987" t="str">
        <f t="shared" si="15"/>
        <v/>
      </c>
      <c r="M92" s="473"/>
      <c r="N92" s="473"/>
      <c r="O92" s="473"/>
      <c r="P92" s="473"/>
      <c r="Q92" s="473"/>
      <c r="R92" s="473"/>
      <c r="S92" s="473"/>
      <c r="T92" s="473"/>
    </row>
    <row r="93" ht="19.5" customHeight="1">
      <c r="B93" s="473"/>
      <c r="C93" s="473"/>
      <c r="D93" s="473"/>
      <c r="E93" s="473"/>
      <c r="F93" s="473"/>
      <c r="G93" s="473"/>
      <c r="H93" s="473"/>
      <c r="I93" s="988" t="s">
        <v>1950</v>
      </c>
      <c r="J93" s="989" t="str">
        <f t="shared" si="16"/>
        <v/>
      </c>
      <c r="K93" s="473"/>
      <c r="L93" s="473"/>
      <c r="M93" s="473"/>
      <c r="N93" s="473"/>
      <c r="O93" s="473"/>
      <c r="P93" s="473"/>
      <c r="Q93" s="473"/>
      <c r="R93" s="473"/>
      <c r="S93" s="473"/>
      <c r="T93" s="473"/>
    </row>
    <row r="94" ht="19.5" customHeight="1">
      <c r="B94" s="473"/>
    </row>
    <row r="95" ht="19.5" customHeight="1">
      <c r="B95" s="990" t="s">
        <v>2129</v>
      </c>
      <c r="C95" s="991"/>
      <c r="D95" s="991"/>
      <c r="E95" s="991"/>
      <c r="F95" s="991"/>
      <c r="G95" s="991"/>
      <c r="H95" s="992"/>
      <c r="I95" s="582" t="s">
        <v>2130</v>
      </c>
      <c r="J95" s="583"/>
      <c r="K95" s="583"/>
      <c r="L95" s="583"/>
      <c r="M95" s="583"/>
      <c r="N95" s="584"/>
      <c r="O95" s="473"/>
      <c r="P95" s="993" t="s">
        <v>2131</v>
      </c>
      <c r="Q95" s="994"/>
      <c r="R95" s="994"/>
      <c r="S95" s="994"/>
      <c r="T95" s="995"/>
    </row>
    <row r="96" ht="19.5" customHeight="1">
      <c r="B96" s="996"/>
      <c r="C96" s="774"/>
      <c r="D96" s="774"/>
      <c r="E96" s="774"/>
      <c r="F96" s="774"/>
      <c r="G96" s="774"/>
      <c r="H96" s="997"/>
      <c r="I96" s="593"/>
      <c r="J96" s="594"/>
      <c r="K96" s="594"/>
      <c r="L96" s="594"/>
      <c r="M96" s="594"/>
      <c r="N96" s="595"/>
      <c r="P96" s="998"/>
      <c r="Q96" s="999"/>
      <c r="R96" s="999"/>
      <c r="S96" s="999"/>
      <c r="T96" s="1000"/>
    </row>
    <row r="97" ht="19.5" customHeight="1">
      <c r="B97" s="1001" t="s">
        <v>78</v>
      </c>
      <c r="C97" s="1002"/>
      <c r="D97" s="1003" t="s">
        <v>2132</v>
      </c>
      <c r="E97" s="779" t="s">
        <v>2133</v>
      </c>
      <c r="F97" s="779" t="s">
        <v>1926</v>
      </c>
      <c r="G97" s="778" t="s">
        <v>2134</v>
      </c>
      <c r="H97" s="1004" t="s">
        <v>69</v>
      </c>
      <c r="I97" s="1005" t="s">
        <v>2135</v>
      </c>
      <c r="J97" s="1006" t="s">
        <v>2132</v>
      </c>
      <c r="K97" s="1007" t="s">
        <v>2133</v>
      </c>
      <c r="L97" s="1007" t="s">
        <v>1926</v>
      </c>
      <c r="M97" s="1008" t="s">
        <v>2136</v>
      </c>
      <c r="N97" s="1009" t="s">
        <v>69</v>
      </c>
      <c r="P97" s="1010" t="s">
        <v>1925</v>
      </c>
      <c r="Q97" s="1007" t="s">
        <v>2137</v>
      </c>
      <c r="R97" s="1011" t="s">
        <v>2138</v>
      </c>
      <c r="S97" s="1012" t="s">
        <v>2139</v>
      </c>
      <c r="T97" s="1013" t="s">
        <v>2087</v>
      </c>
    </row>
    <row r="98" ht="19.5" customHeight="1">
      <c r="B98" s="1014" t="s">
        <v>2140</v>
      </c>
      <c r="C98" s="544"/>
      <c r="D98" s="1015">
        <f>ROUND(J98*2*(1+(2.78*J75)/(1400+J75)+P29%),0)</f>
        <v>6652</v>
      </c>
      <c r="E98" s="817">
        <f>ROUND(K98*2*(1+(2.78*J75)/(1400+J75)+P29%),0)</f>
        <v>21094</v>
      </c>
      <c r="F98" s="1016">
        <f>ROUND(L98*2*(1+(2.78*J75)/(1400+J75)+P29%),0)</f>
        <v>19590</v>
      </c>
      <c r="G98" s="1017">
        <f>ROUND(2*(1+(2.78*J75)/(1400+J75)+N73%),2)</f>
        <v>2.26</v>
      </c>
      <c r="H98" s="1018" t="s">
        <v>2141</v>
      </c>
      <c r="I98" s="627" t="str">
        <f t="shared" ref="I98:I124" si="17">S98</f>
        <v>ОБ. УДАРЫ</v>
      </c>
      <c r="J98" s="1019">
        <f t="array" ref="J98">ROUND((CHOOSE(MATCH(LOWER(TRIM(M98)),{"СА";"СА+ХП";"СА+МС";"СА+ЗЩ";"ХП";"ЗЩ"}, 0), J74,J74,J74,J74,J78,J79)*Q98%+CHOOSE(MATCH(LOWER(TRIM(M98)),{"СА";"СА+ХП";"СА+МС";"СА+ЗЩ";"ХП";"ЗЩ"}, 0), 0,J78,J75,J79,0,0)*R98%+IF(L19=TRUE,L86+ 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УДАР"},0),J84%,J85%,J86%,J87%,J88%,0))*(1-CHOOSE(MATCH(LOWER(TRIM(N98)),{"КРИО";"ПИРО";"ЭЛЕКТРО";"ГИДРО";"АНЕМО";"ГЕО";"ДЕНДРО";"ФИЗУХА"}, 0), C83,C80,C82,C81,E81,E82,E80,E83)%)*(D79),0)</f>
        <v>2937</v>
      </c>
      <c r="K98" s="1020">
        <f t="array" ref="K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УДАР"},0),J84%,J85%,J86%,J87%,J88%,0))*(1+J76%)*(1-CHOOSE(MATCH(LOWER(TRIM(N98)),{"КРИО";"ПИРО";"ЭЛЕКТРО";"ГИДРО";"АНЕМО";"ГЕО";"ДЕНДРО";"ФИЗУХА"}, 0), C83,C80,C82,C81,E81,E82,E80,E83)%)*(D79),0)</f>
        <v>9314</v>
      </c>
      <c r="L98" s="1020">
        <f t="array" ref="L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УДАР"},0),L84,L85,L81,L82,L83,0),0)+CHOOSE(MATCH(LOWER(TRIM(J19)),{"ПАР";"ОБ.ПАР";"ТАЯНИЕ";"ОБ.ТАЯНИЕ";"ОБОСТР.";"РАЗРАСТ.";"НЕТ"}, 0), 0,0,0,0,D102,D103,0))*(1+L87%+CHOOSE(MATCH(LOWER(TRIM(N98)),{"КРИО";"ПИРО";"ЭЛЕКТРО";"ГИДРО";"АНЕМО";"ГЕО";"ДЕНДРО";"ФИЗУХА"}, 0), L76,L73,L75,L74,L78,L77,L79,L80)%+CHOOSE(MATCH(LOWER(TRIM(S98)),{"ЕШКА";"УЛЬТА";"ОБ. УДАРЫ";"ЗАР. УДАРЫ";"ПРЫЖКИ";"УНИК. УДАР"},0),J84%,J85%,J86%,J87%,J88%,0))*(1+(J76%+CHOOSE(MATCH(LOWER(TRIM(S98)),{"ЕШКА";"УЛЬТА";"ОБ. УДАРЫ";"ЗАР. УДАРЫ";"ПРЫЖКИ";"УНИК. УДАР"},0),J91,J92,J89,J90,J93,0)%)*MIN((J77%+CHOOSE(MATCH(LOWER(TRIM(S98)),{"ЕШКА";"УЛЬТА";"ОБ. УДАРЫ";"ЗАР. УДАРЫ";"ПРЫЖКИ";"УНИК. УДАР"},0),L90,L91,L88,L89,L92,0)%),100%))*(1-CHOOSE(MATCH(LOWER(TRIM(N98)),{"КРИО";"ПИРО";"ЭЛЕКТРО";"ГИДРО";"АНЕМО";"ГЕО";"ДЕНДРО";"ФИЗУХА"}, 0), C83,C80,C82,C81,E81,E82,E80,E83)%)*(D79),0)</f>
        <v>8650</v>
      </c>
      <c r="M98" s="638" t="s">
        <v>125</v>
      </c>
      <c r="N98" s="1021" t="s">
        <v>1905</v>
      </c>
      <c r="P98" s="627" t="str">
        <f t="shared" ref="P98:P124" si="18">S98</f>
        <v>ОБ. УДАРЫ</v>
      </c>
      <c r="Q98" s="1022">
        <v>130.0</v>
      </c>
      <c r="R98" s="1023"/>
      <c r="S98" s="1024" t="s">
        <v>2142</v>
      </c>
      <c r="T98" s="1025" t="s">
        <v>2143</v>
      </c>
    </row>
    <row r="99" ht="19.5" customHeight="1">
      <c r="B99" s="1026" t="s">
        <v>2144</v>
      </c>
      <c r="C99" s="544"/>
      <c r="D99" s="1027">
        <f>ROUND(J98*1.5*(1+(2.78*J75)/(1400+J75)+P29%),0)</f>
        <v>4989</v>
      </c>
      <c r="E99" s="630">
        <f>ROUND(K98*1.5*(1+(2.78*J75)/(1400+J75)+P29%),0)</f>
        <v>15820</v>
      </c>
      <c r="F99" s="573">
        <f>ROUND(L98*1.5*(1+(2.78*J75)/(1400+J75)+P29%),0)</f>
        <v>14693</v>
      </c>
      <c r="G99" s="1028">
        <f>ROUND(1.5*(1+(2.78*J75)/(1400+J75)+N73%),2)</f>
        <v>1.7</v>
      </c>
      <c r="H99" s="1029" t="s">
        <v>2145</v>
      </c>
      <c r="I99" s="627" t="str">
        <f t="shared" si="17"/>
        <v>ОБ. УДАРЫ</v>
      </c>
      <c r="J99" s="1030">
        <f t="array" ref="J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УДАР"},0),J84%,J85%,J86%,J87%,J88%,0))*(1-CHOOSE(MATCH(LOWER(TRIM(N99)),{"КРИО";"ПИРО";"ЭЛЕКТРО";"ГИДРО";"АНЕМО";"ГЕО";"ДЕНДРО";"ФИЗУХА"}, 0), C83,C80,C82,C81,E81,E82,E80,E83)%)*(D79),0)</f>
        <v>2530</v>
      </c>
      <c r="K99" s="1031">
        <f t="array" ref="K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УДАР"},0),J84%,J85%,J86%,J87%,J88%,0))*(1+J76%)*(1-CHOOSE(MATCH(LOWER(TRIM(N99)),{"КРИО";"ПИРО";"ЭЛЕКТРО";"ГИДРО";"АНЕМО";"ГЕО";"ДЕНДРО";"ФИЗУХА"}, 0), C83,C80,C82,C81,E81,E82,E80,E83)%)*(D79),0)</f>
        <v>8024</v>
      </c>
      <c r="L99" s="1031">
        <f t="array" ref="L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УДАР"},0),L84,L85,L81,L82,L83,0),0)+CHOOSE(MATCH(LOWER(TRIM(J20)),{"ПАР";"ОБ.ПАР";"ТАЯНИЕ";"ОБ.ТАЯНИЕ";"ОБОСТР.";"РАЗРАСТ.";"НЕТ"}, 0), 0,0,0,0,D102,D103,0))*(1+L87%+CHOOSE(MATCH(LOWER(TRIM(N99)),{"КРИО";"ПИРО";"ЭЛЕКТРО";"ГИДРО";"АНЕМО";"ГЕО";"ДЕНДРО";"ФИЗУХА"}, 0), L76,L73,L75,L74,L78,L77,L79,L80)%+CHOOSE(MATCH(LOWER(TRIM(S99)),{"ЕШКА";"УЛЬТА";"ОБ. УДАРЫ";"ЗАР. УДАРЫ";"ПРЫЖКИ";"УНИК. УДАР"},0),J84%,J85%,J86%,J87%,J88%,0))*(1+(J76%+CHOOSE(MATCH(LOWER(TRIM(S99)),{"ЕШКА";"УЛЬТА";"ОБ. УДАРЫ";"ЗАР. УДАРЫ";"ПРЫЖКИ";"УНИК. УДАР"},0),J91,J92,J89,J90,J93,0)%)*MIN((J77%+CHOOSE(MATCH(LOWER(TRIM(S99)),{"ЕШКА";"УЛЬТА";"ОБ. УДАРЫ";"ЗАР. УДАРЫ";"ПРЫЖКИ";"УНИК. УДАР"},0),L90,L91,L88,L89,L92,0)%),100%))*(1-CHOOSE(MATCH(LOWER(TRIM(N99)),{"КРИО";"ПИРО";"ЭЛЕКТРО";"ГИДРО";"АНЕМО";"ГЕО";"ДЕНДРО";"ФИЗУХА"}, 0), C83,C80,C82,C81,E81,E82,E80,E83)%)*(D79),0)</f>
        <v>7453</v>
      </c>
      <c r="M99" s="629" t="s">
        <v>125</v>
      </c>
      <c r="N99" s="1021" t="s">
        <v>1905</v>
      </c>
      <c r="P99" s="627" t="str">
        <f t="shared" si="18"/>
        <v>ОБ. УДАРЫ</v>
      </c>
      <c r="Q99" s="1032">
        <v>112.0</v>
      </c>
      <c r="R99" s="1033"/>
      <c r="S99" s="1024" t="s">
        <v>2142</v>
      </c>
      <c r="T99" s="1025" t="s">
        <v>2143</v>
      </c>
    </row>
    <row r="100" ht="19.5" customHeight="1">
      <c r="B100" s="1014" t="s">
        <v>2146</v>
      </c>
      <c r="C100" s="544"/>
      <c r="D100" s="1015">
        <f>ROUND(J98*2*(1+(2.78*J75)/(1400+J75)+P30%),0)</f>
        <v>6652</v>
      </c>
      <c r="E100" s="817">
        <f>ROUND(K98*2*(1+(2.78*J75)/(1400+J75)+P30%),0)</f>
        <v>21094</v>
      </c>
      <c r="F100" s="1016">
        <f>ROUND(L98*2*(1+(2.78*J75)/(1400+J75)+P30%),0)</f>
        <v>19590</v>
      </c>
      <c r="G100" s="1017">
        <f>ROUND(2*(1+(2.78*J75)/(1400+J75)+N74%),2)</f>
        <v>2.26</v>
      </c>
      <c r="H100" s="1018" t="s">
        <v>2147</v>
      </c>
      <c r="I100" s="627" t="str">
        <f t="shared" si="17"/>
        <v>ОБ. УДАРЫ</v>
      </c>
      <c r="J100" s="1034">
        <f t="array" ref="J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УДАР"},0),J84%,J85%,J86%,J87%,J88%,0))*(1-CHOOSE(MATCH(LOWER(TRIM(N100)),{"КРИО";"ПИРО";"ЭЛЕКТРО";"ГИДРО";"АНЕМО";"ГЕО";"ДЕНДРО";"ФИЗУХА"}, 0), C83,C80,C82,C81,E81,E82,E80,E83)%)*(D79),0)</f>
        <v>3660</v>
      </c>
      <c r="K100" s="1020">
        <f t="array" ref="K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УДАР"},0),J84%,J85%,J86%,J87%,J88%,0))*(1+J76%)*(1-CHOOSE(MATCH(LOWER(TRIM(N100)),{"КРИО";"ПИРО";"ЭЛЕКТРО";"ГИДРО";"АНЕМО";"ГЕО";"ДЕНДРО";"ФИЗУХА"}, 0), C83,C80,C82,C81,E81,E82,E80,E83)%)*(D79),0)</f>
        <v>11606</v>
      </c>
      <c r="L100" s="1020">
        <f t="array" ref="L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УДАР"},0),L84,L85,L81,L82,L83,0),0)+CHOOSE(MATCH(LOWER(TRIM(J21)),{"ПАР";"ОБ.ПАР";"ТАЯНИЕ";"ОБ.ТАЯНИЕ";"ОБОСТР.";"РАЗРАСТ.";"НЕТ"}, 0), 0,0,0,0,D102,D103,0))*(1+L87%+CHOOSE(MATCH(LOWER(TRIM(N100)),{"КРИО";"ПИРО";"ЭЛЕКТРО";"ГИДРО";"АНЕМО";"ГЕО";"ДЕНДРО";"ФИЗУХА"}, 0), L76,L73,L75,L74,L78,L77,L79,L80)%+CHOOSE(MATCH(LOWER(TRIM(S100)),{"ЕШКА";"УЛЬТА";"ОБ. УДАРЫ";"ЗАР. УДАРЫ";"ПРЫЖКИ";"УНИК. УДАР"},0),J84%,J85%,J86%,J87%,J88%,0))*(1+(J76%+CHOOSE(MATCH(LOWER(TRIM(S100)),{"ЕШКА";"УЛЬТА";"ОБ. УДАРЫ";"ЗАР. УДАРЫ";"ПРЫЖКИ";"УНИК. УДАР"},0),J91,J92,J89,J90,J93,0)%)*MIN((J77%+CHOOSE(MATCH(LOWER(TRIM(S100)),{"ЕШКА";"УЛЬТА";"ОБ. УДАРЫ";"ЗАР. УДАРЫ";"ПРЫЖКИ";"УНИК. УДАР"},0),L90,L91,L88,L89,L92,0)%),100%))*(1-CHOOSE(MATCH(LOWER(TRIM(N100)),{"КРИО";"ПИРО";"ЭЛЕКТРО";"ГИДРО";"АНЕМО";"ГЕО";"ДЕНДРО";"ФИЗУХА"}, 0), C83,C80,C82,C81,E81,E82,E80,E83)%)*(D79),0)</f>
        <v>10780</v>
      </c>
      <c r="M100" s="629" t="s">
        <v>125</v>
      </c>
      <c r="N100" s="1021" t="s">
        <v>1905</v>
      </c>
      <c r="P100" s="627" t="str">
        <f t="shared" si="18"/>
        <v>ОБ. УДАРЫ</v>
      </c>
      <c r="Q100" s="1022">
        <v>162.0</v>
      </c>
      <c r="R100" s="1023"/>
      <c r="S100" s="1024" t="s">
        <v>2142</v>
      </c>
      <c r="T100" s="1025" t="s">
        <v>2143</v>
      </c>
    </row>
    <row r="101" ht="19.5" customHeight="1">
      <c r="B101" s="1026" t="s">
        <v>2148</v>
      </c>
      <c r="C101" s="544"/>
      <c r="D101" s="1027">
        <f>ROUND(J98*1.5*(1+(2.78*J75)/(1400+J75)+P30%),0)</f>
        <v>4989</v>
      </c>
      <c r="E101" s="630">
        <f>ROUND(K98*1.5*(1+(2.78*J75)/(1400+J75)+P30%),0)</f>
        <v>15820</v>
      </c>
      <c r="F101" s="573">
        <f>ROUND(L98*1.5*(1+(2.78*J75)/(1400+J75)+P30%),0)</f>
        <v>14693</v>
      </c>
      <c r="G101" s="1028">
        <f>ROUND(1.5*(1+(2.78*J75)/(1400+J75)+N74%),2)</f>
        <v>1.7</v>
      </c>
      <c r="H101" s="1029" t="s">
        <v>2149</v>
      </c>
      <c r="I101" s="627" t="str">
        <f t="shared" si="17"/>
        <v>УЛЬТА</v>
      </c>
      <c r="J101" s="1030">
        <f t="array" ref="J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УДАР"},0),J84%,J85%,J86%,J87%,J88%,0))*(1-CHOOSE(MATCH(LOWER(TRIM(N101)),{"КРИО";"ПИРО";"ЭЛЕКТРО";"ГИДРО";"АНЕМО";"ГЕО";"ДЕНДРО";"ФИЗУХА"}, 0), C83,C80,C82,C81,E81,E82,E80,E83)%)*(D79),0)</f>
        <v>0</v>
      </c>
      <c r="K101" s="1031">
        <f t="array" ref="K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УДАР"},0),J84%,J85%,J86%,J87%,J88%,0))*(1+J76%)*(1-CHOOSE(MATCH(LOWER(TRIM(N101)),{"КРИО";"ПИРО";"ЭЛЕКТРО";"ГИДРО";"АНЕМО";"ГЕО";"ДЕНДРО";"ФИЗУХА"}, 0), C83,C80,C82,C81,E81,E82,E80,E83)%)*(D79),0)</f>
        <v>0</v>
      </c>
      <c r="L101" s="1031">
        <f t="array" ref="L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УДАР"},0),L84,L85,L81,L82,L83,0),0)+CHOOSE(MATCH(LOWER(TRIM(J22)),{"ПАР";"ОБ.ПАР";"ТАЯНИЕ";"ОБ.ТАЯНИЕ";"ОБОСТР.";"РАЗРАСТ.";"НЕТ"}, 0), 0,0,0,0,D102,D103,0))*(1+L87%+CHOOSE(MATCH(LOWER(TRIM(N101)),{"КРИО";"ПИРО";"ЭЛЕКТРО";"ГИДРО";"АНЕМО";"ГЕО";"ДЕНДРО";"ФИЗУХА"}, 0), L76,L73,L75,L74,L78,L77,L79,L80)%+CHOOSE(MATCH(LOWER(TRIM(S101)),{"ЕШКА";"УЛЬТА";"ОБ. УДАРЫ";"ЗАР. УДАРЫ";"ПРЫЖКИ";"УНИК. УДАР"},0),J84%,J85%,J86%,J87%,J88%,0))*(1+(J76%+CHOOSE(MATCH(LOWER(TRIM(S101)),{"ЕШКА";"УЛЬТА";"ОБ. УДАРЫ";"ЗАР. УДАРЫ";"ПРЫЖКИ";"УНИК. УДАР"},0),J91,J92,J89,J90,J93,0)%)*MIN((J77%+CHOOSE(MATCH(LOWER(TRIM(S101)),{"ЕШКА";"УЛЬТА";"ОБ. УДАРЫ";"ЗАР. УДАРЫ";"ПРЫЖКИ";"УНИК. УДАР"},0),L90,L91,L88,L89,L92,0)%),100%))*(1-CHOOSE(MATCH(LOWER(TRIM(N101)),{"КРИО";"ПИРО";"ЭЛЕКТРО";"ГИДРО";"АНЕМО";"ГЕО";"ДЕНДРО";"ФИЗУХА"}, 0), C83,C80,C82,C81,E81,E82,E80,E83)%)*(D79),0)</f>
        <v>0</v>
      </c>
      <c r="M101" s="629" t="s">
        <v>125</v>
      </c>
      <c r="N101" s="1021" t="s">
        <v>1905</v>
      </c>
      <c r="P101" s="627" t="str">
        <f t="shared" si="18"/>
        <v>УЛЬТА</v>
      </c>
      <c r="Q101" s="1032"/>
      <c r="R101" s="1033"/>
      <c r="S101" s="1024" t="s">
        <v>1902</v>
      </c>
      <c r="T101" s="1025" t="s">
        <v>2143</v>
      </c>
    </row>
    <row r="102" ht="19.5" customHeight="1">
      <c r="B102" s="1014" t="s">
        <v>2150</v>
      </c>
      <c r="C102" s="544"/>
      <c r="D102" s="1035">
        <f t="array" ref="D102">ROUND(1.15*(CHOOSE(MATCH(LOWER(TRIM(B23)),{"УРОВЕНЬ 100";"УРОВЕНЬ 95";"УРОВЕНЬ 90";"УРОВЕНЬ 80"},0),1674.8092,1561.468,1446.85,1077.44)*(1+(5*J75)/(1200+J75)+N75%)),0)</f>
        <v>2122</v>
      </c>
      <c r="E102" s="817" t="s">
        <v>14</v>
      </c>
      <c r="F102" s="1016" t="s">
        <v>14</v>
      </c>
      <c r="G102" s="816" t="s">
        <v>14</v>
      </c>
      <c r="H102" s="1018" t="s">
        <v>560</v>
      </c>
      <c r="I102" s="627" t="str">
        <f t="shared" si="17"/>
        <v>ЗАР. УДАРЫ</v>
      </c>
      <c r="J102" s="1034">
        <f t="array" ref="J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УДАР"},0),J84%,J85%,J86%,J87%,J88%,0))*(1-CHOOSE(MATCH(LOWER(TRIM(N102)),{"КРИО";"ПИРО";"ЭЛЕКТРО";"ГИДРО";"АНЕМО";"ГЕО";"ДЕНДРО";"ФИЗУХА"}, 0), C83,C80,C82,C81,E81,E82,E80,E83)%)*(D79),0)</f>
        <v>7574</v>
      </c>
      <c r="K102" s="1020">
        <f t="array" ref="K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УДАР"},0),J84%,J85%,J86%,J87%,J88%,0))*(1+J76%)*(1-CHOOSE(MATCH(LOWER(TRIM(N102)),{"КРИО";"ПИРО";"ЭЛЕКТРО";"ГИДРО";"АНЕМО";"ГЕО";"ДЕНДРО";"ФИЗУХА"}, 0), C83,C80,C82,C81,E81,E82,E80,E83)%)*(D79),0)</f>
        <v>24017</v>
      </c>
      <c r="L102" s="1020">
        <f t="array" ref="L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УДАР"},0),L84,L85,L81,L82,L83,0),0)+CHOOSE(MATCH(LOWER(TRIM(J23)),{"ПАР";"ОБ.ПАР";"ТАЯНИЕ";"ОБ.ТАЯНИЕ";"ОБОСТР.";"РАЗРАСТ.";"НЕТ"}, 0), 0,0,0,0,D102,D103,0))*(1+L87%+CHOOSE(MATCH(LOWER(TRIM(N102)),{"КРИО";"ПИРО";"ЭЛЕКТРО";"ГИДРО";"АНЕМО";"ГЕО";"ДЕНДРО";"ФИЗУХА"}, 0), L76,L73,L75,L74,L78,L77,L79,L80)%+CHOOSE(MATCH(LOWER(TRIM(S102)),{"ЕШКА";"УЛЬТА";"ОБ. УДАРЫ";"ЗАР. УДАРЫ";"ПРЫЖКИ";"УНИК. УДАР"},0),J84%,J85%,J86%,J87%,J88%,0))*(1+(J76%+CHOOSE(MATCH(LOWER(TRIM(S102)),{"ЕШКА";"УЛЬТА";"ОБ. УДАРЫ";"ЗАР. УДАРЫ";"ПРЫЖКИ";"УНИК. УДАР"},0),J91,J92,J89,J90,J93,0)%)*MIN((J77%+CHOOSE(MATCH(LOWER(TRIM(S102)),{"ЕШКА";"УЛЬТА";"ОБ. УДАРЫ";"ЗАР. УДАРЫ";"ПРЫЖКИ";"УНИК. УДАР"},0),L90,L91,L88,L89,L92,0)%),100%))*(1-CHOOSE(MATCH(LOWER(TRIM(N102)),{"КРИО";"ПИРО";"ЭЛЕКТРО";"ГИДРО";"АНЕМО";"ГЕО";"ДЕНДРО";"ФИЗУХА"}, 0), C83,C80,C82,C81,E81,E82,E80,E83)%)*(D79)*IF(D45=true,1.5,1),0)</f>
        <v>33460</v>
      </c>
      <c r="M102" s="629" t="s">
        <v>125</v>
      </c>
      <c r="N102" s="1021" t="s">
        <v>1905</v>
      </c>
      <c r="P102" s="627" t="str">
        <f t="shared" si="18"/>
        <v>ЗАР. УДАРЫ</v>
      </c>
      <c r="Q102" s="1022">
        <v>283.0</v>
      </c>
      <c r="R102" s="1023"/>
      <c r="S102" s="1024" t="s">
        <v>2151</v>
      </c>
      <c r="T102" s="1025" t="s">
        <v>2143</v>
      </c>
    </row>
    <row r="103" ht="19.5" customHeight="1">
      <c r="B103" s="1026" t="s">
        <v>2152</v>
      </c>
      <c r="C103" s="544"/>
      <c r="D103" s="1036">
        <f t="array" ref="D103">ROUND(1.25*(CHOOSE(MATCH(LOWER(TRIM(B23)),{"УРОВЕНЬ 100";"УРОВЕНЬ 95";"УРОВЕНЬ 90";"УРОВЕНЬ 80"},0),1674.8092,1561.468,1446.85,1077.44)*(1+(5*J75)/(1200+J75)+N75%)),0)</f>
        <v>2307</v>
      </c>
      <c r="E103" s="630" t="s">
        <v>14</v>
      </c>
      <c r="F103" s="573" t="s">
        <v>14</v>
      </c>
      <c r="G103" s="629" t="s">
        <v>14</v>
      </c>
      <c r="H103" s="1029" t="s">
        <v>569</v>
      </c>
      <c r="I103" s="627" t="str">
        <f t="shared" si="17"/>
        <v>ЗАР. УДАРЫ</v>
      </c>
      <c r="J103" s="1030">
        <f t="array" ref="J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УДАР"},0),J84%,J85%,J86%,J87%,J88%,0))*(1-CHOOSE(MATCH(LOWER(TRIM(N103)),{"КРИО";"ПИРО";"ЭЛЕКТРО";"ГИДРО";"АНЕМО";"ГЕО";"ДЕНДРО";"ФИЗУХА"}, 0), C83,C80,C82,C81,E81,E82,E80,E83)%)*(D79),0)</f>
        <v>7574</v>
      </c>
      <c r="K103" s="1031">
        <f t="array" ref="K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УДАР"},0),J84%,J85%,J86%,J87%,J88%,0))*(1+J76%)*(1-CHOOSE(MATCH(LOWER(TRIM(N103)),{"КРИО";"ПИРО";"ЭЛЕКТРО";"ГИДРО";"АНЕМО";"ГЕО";"ДЕНДРО";"ФИЗУХА"}, 0), C83,C80,C82,C81,E81,E82,E80,E83)%)*(D79),0)</f>
        <v>24017</v>
      </c>
      <c r="L103" s="1031">
        <f t="array" ref="L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УДАР"},0),L84,L85,L81,L82,L83,0),0)+CHOOSE(MATCH(LOWER(TRIM(J24)),{"ПАР";"ОБ.ПАР";"ТАЯНИЕ";"ОБ.ТАЯНИЕ";"ОБОСТР.";"РАЗРАСТ.";"НЕТ"}, 0), 0,0,0,0,D102,D103,0))*(1+L87%+CHOOSE(MATCH(LOWER(TRIM(N103)),{"КРИО";"ПИРО";"ЭЛЕКТРО";"ГИДРО";"АНЕМО";"ГЕО";"ДЕНДРО";"ФИЗУХА"}, 0), L76,L73,L75,L74,L78,L77,L79,L80)%+CHOOSE(MATCH(LOWER(TRIM(S103)),{"ЕШКА";"УЛЬТА";"ОБ. УДАРЫ";"ЗАР. УДАРЫ";"ПРЫЖКИ";"УНИК. УДАР"},0),J84%,J85%,J86%,J87%,J88%,0))*(1+(J76%+CHOOSE(MATCH(LOWER(TRIM(S103)),{"ЕШКА";"УЛЬТА";"ОБ. УДАРЫ";"ЗАР. УДАРЫ";"ПРЫЖКИ";"УНИК. УДАР"},0),J91,J92,J89,J90,J93,0)%)*MIN((J77%+CHOOSE(MATCH(LOWER(TRIM(S103)),{"ЕШКА";"УЛЬТА";"ОБ. УДАРЫ";"ЗАР. УДАРЫ";"ПРЫЖКИ";"УНИК. УДАР"},0),L90,L91,L88,L89,L92,0)%),100%))*(1-CHOOSE(MATCH(LOWER(TRIM(N103)),{"КРИО";"ПИРО";"ЭЛЕКТРО";"ГИДРО";"АНЕМО";"ГЕО";"ДЕНДРО";"ФИЗУХА"}, 0), C83,C80,C82,C81,E81,E82,E80,E83)%)*(D79)*IF(D45=true,1.5,1),0)</f>
        <v>33460</v>
      </c>
      <c r="M103" s="629" t="s">
        <v>125</v>
      </c>
      <c r="N103" s="1021" t="s">
        <v>1905</v>
      </c>
      <c r="P103" s="627" t="str">
        <f t="shared" si="18"/>
        <v>ЗАР. УДАРЫ</v>
      </c>
      <c r="Q103" s="1032">
        <v>283.0</v>
      </c>
      <c r="R103" s="1033"/>
      <c r="S103" s="1024" t="s">
        <v>2151</v>
      </c>
      <c r="T103" s="1025" t="s">
        <v>2143</v>
      </c>
    </row>
    <row r="104" ht="19.5" customHeight="1">
      <c r="B104" s="1014" t="s">
        <v>2154</v>
      </c>
      <c r="C104" s="544"/>
      <c r="D104" s="1015">
        <v>0.0</v>
      </c>
      <c r="E104" s="817">
        <v>0.0</v>
      </c>
      <c r="F104" s="1016">
        <v>0.0</v>
      </c>
      <c r="G104" s="816" t="s">
        <v>14</v>
      </c>
      <c r="H104" s="1018" t="s">
        <v>159</v>
      </c>
      <c r="I104" s="627" t="str">
        <f t="shared" si="17"/>
        <v>УЛЬТА</v>
      </c>
      <c r="J104" s="1034">
        <f t="array" ref="J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УДАР"},0),J84%,J85%,J86%,J87%,J88%,0))*(1-CHOOSE(MATCH(LOWER(TRIM(N104)),{"КРИО";"ПИРО";"ЭЛЕКТРО";"ГИДРО";"АНЕМО";"ГЕО";"ДЕНДРО";"ФИЗУХА"}, 0), C83,C80,C82,C81,E81,E82,E80,E83)%)*(D79),0)</f>
        <v>0</v>
      </c>
      <c r="K104" s="1020">
        <f t="array" ref="K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УДАР"},0),J84%,J85%,J86%,J87%,J88%,0))*(1+J76%)*(1-CHOOSE(MATCH(LOWER(TRIM(N104)),{"КРИО";"ПИРО";"ЭЛЕКТРО";"ГИДРО";"АНЕМО";"ГЕО";"ДЕНДРО";"ФИЗУХА"}, 0), C83,C80,C82,C81,E81,E82,E80,E83)%)*(D79),0)</f>
        <v>0</v>
      </c>
      <c r="L104" s="1020">
        <f t="array" ref="L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УДАР"},0),L84,L85,L81,L82,L83,0),0)+CHOOSE(MATCH(LOWER(TRIM(J25)),{"ПАР";"ОБ.ПАР";"ТАЯНИЕ";"ОБ.ТАЯНИЕ";"ОБОСТР.";"РАЗРАСТ.";"НЕТ"}, 0), 0,0,0,0,D102,D103,0))*(1+L87%+CHOOSE(MATCH(LOWER(TRIM(N104)),{"КРИО";"ПИРО";"ЭЛЕКТРО";"ГИДРО";"АНЕМО";"ГЕО";"ДЕНДРО";"ФИЗУХА"}, 0), L76,L73,L75,L74,L78,L77,L79,L80)%+CHOOSE(MATCH(LOWER(TRIM(S104)),{"ЕШКА";"УЛЬТА";"ОБ. УДАРЫ";"ЗАР. УДАРЫ";"ПРЫЖКИ";"УНИК. УДАР"},0),J84%,J85%,J86%,J87%,J88%,0))*(1+(J76%+CHOOSE(MATCH(LOWER(TRIM(S104)),{"ЕШКА";"УЛЬТА";"ОБ. УДАРЫ";"ЗАР. УДАРЫ";"ПРЫЖКИ";"УНИК. УДАР"},0),J91,J92,J89,J90,J93,0)%)*MIN((J77%+CHOOSE(MATCH(LOWER(TRIM(S104)),{"ЕШКА";"УЛЬТА";"ОБ. УДАРЫ";"ЗАР. УДАРЫ";"ПРЫЖКИ";"УНИК. УДАР"},0),L90,L91,L88,L89,L92,0)%),100%))*(1-CHOOSE(MATCH(LOWER(TRIM(N104)),{"КРИО";"ПИРО";"ЭЛЕКТРО";"ГИДРО";"АНЕМО";"ГЕО";"ДЕНДРО";"ФИЗУХА"}, 0), C83,C80,C82,C81,E81,E82,E80,E83)%)*(D79),0)</f>
        <v>0</v>
      </c>
      <c r="M104" s="629" t="s">
        <v>125</v>
      </c>
      <c r="N104" s="1021" t="s">
        <v>1905</v>
      </c>
      <c r="P104" s="627" t="str">
        <f t="shared" si="18"/>
        <v>УЛЬТА</v>
      </c>
      <c r="Q104" s="1022"/>
      <c r="R104" s="1023"/>
      <c r="S104" s="1024" t="s">
        <v>1902</v>
      </c>
      <c r="T104" s="1025" t="s">
        <v>2143</v>
      </c>
    </row>
    <row r="105" ht="19.5" customHeight="1">
      <c r="B105" s="1026" t="s">
        <v>2010</v>
      </c>
      <c r="C105" s="544"/>
      <c r="D105" s="338">
        <f t="array" ref="D105">ROUND(2*(CHOOSE(MATCH(LOWER(TRIM(B23)),{"УРОВЕНЬ 100";"УРОВЕНЬ 95";"УРОВЕНЬ 90";"УРОВЕНЬ 80"},0),1674.8092,1561.468,1446.85,1077.44)*(1+(16*J75)/(2000+J75)+N76%)*(1-E80%)),0)</f>
        <v>4013</v>
      </c>
      <c r="E105" s="338">
        <f t="array" ref="E105">ROUND(2*(CHOOSE(MATCH(LOWER(TRIM(B23)),{"УРОВЕНЬ 100";"УРОВЕНЬ 95";"УРОВЕНЬ 90";"УРОВЕНЬ 80"},0),1674.8092,1561.468,1446.85,1077.44)*(1+(16*J75)/(2000+J75)+N76%)*(1-E80%))*CHOOSE(MATCH(LOWER(TRIM(B105)),{"БУТОН";"БУТОН+С2(НАХ)";"БУТОН+А1(ЛАУ)";"БУТОН+С2+А1"},0), 1,2,2,2),0)</f>
        <v>4013</v>
      </c>
      <c r="F105" s="1040">
        <f t="array" ref="F105">ROUND(2*(CHOOSE(MATCH(LOWER(TRIM(B23)),{"УРОВЕНЬ 100";"УРОВЕНЬ 95";"УРОВЕНЬ 90";"УРОВЕНЬ 80"},0),1674.8092,1561.468,1446.85,1077.44)*(1+(16*J75)/(2000+J75)+N76%)*(1-E80%))*CHOOSE(MATCH(LOWER(TRIM(B105)),{"БУТОН";"БУТОН+С2(НАХ)";"БУТОН+А1(ЛАУ)";"БУТОН+С2+А1"},0), 1,1.2,1.15,1.45)+IF(G55=true,K68*500%,0),0)</f>
        <v>4013</v>
      </c>
      <c r="G105" s="1041" t="s">
        <v>14</v>
      </c>
      <c r="H105" s="1029" t="s">
        <v>569</v>
      </c>
      <c r="I105" s="627" t="str">
        <f t="shared" si="17"/>
        <v>ЕШКА</v>
      </c>
      <c r="J105" s="1030">
        <f t="array" ref="J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УДАР"},0),J84%,J85%,J86%,J87%,J88%,0))*(1-CHOOSE(MATCH(LOWER(TRIM(N105)),{"КРИО";"ПИРО";"ЭЛЕКТРО";"ГИДРО";"АНЕМО";"ГЕО";"ДЕНДРО";"ФИЗУХА"}, 0), C83,C80,C82,C81,E81,E82,E80,E83)%)*(D79),0)</f>
        <v>2842</v>
      </c>
      <c r="K105" s="1031">
        <f t="array" ref="K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УДАР"},0),J84%,J85%,J86%,J87%,J88%,0))*(1+J76%)*(1-CHOOSE(MATCH(LOWER(TRIM(N105)),{"КРИО";"ПИРО";"ЭЛЕКТРО";"ГИДРО";"АНЕМО";"ГЕО";"ДЕНДРО";"ФИЗУХА"}, 0), C83,C80,C82,C81,E81,E82,E80,E83)%)*(D79),0)</f>
        <v>9013</v>
      </c>
      <c r="L105" s="1031">
        <f t="array" ref="L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УДАР"},0),L84,L85,L81,L82,L83,0),0)+CHOOSE(MATCH(LOWER(TRIM(J26)),{"ПАР";"ОБ.ПАР";"ТАЯНИЕ";"ОБ.ТАЯНИЕ";"ОБОСТР.";"РАЗРАСТ.";"НЕТ"}, 0), 0,0,0,0,D102,D103,0))*(1+L87%+CHOOSE(MATCH(LOWER(TRIM(N105)),{"КРИО";"ПИРО";"ЭЛЕКТРО";"ГИДРО";"АНЕМО";"ГЕО";"ДЕНДРО";"ФИЗУХА"}, 0), L76,L73,L75,L74,L78,L77,L79,L80)%+CHOOSE(MATCH(LOWER(TRIM(S105)),{"ЕШКА";"УЛЬТА";"ОБ. УДАРЫ";"ЗАР. УДАРЫ";"ПРЫЖКИ";"УНИК. УДАР"},0),J84%,J85%,J86%,J87%,J88%,0))*(1+(J76%+CHOOSE(MATCH(LOWER(TRIM(S105)),{"ЕШКА";"УЛЬТА";"ОБ. УДАРЫ";"ЗАР. УДАРЫ";"ПРЫЖКИ";"УНИК. УДАР"},0),J91,J92,J89,J90,J93,0)%)*MIN((J77%+CHOOSE(MATCH(LOWER(TRIM(S105)),{"ЕШКА";"УЛЬТА";"ОБ. УДАРЫ";"ЗАР. УДАРЫ";"ПРЫЖКИ";"УНИК. УДАР"},0),L90,L91,L88,L89,L92,0)%),100%))*(1-CHOOSE(MATCH(LOWER(TRIM(N105)),{"КРИО";"ПИРО";"ЭЛЕКТРО";"ГИДРО";"АНЕМО";"ГЕО";"ДЕНДРО";"ФИЗУХА"}, 0), C83,C80,C82,C81,E81,E82,E80,E83)%)*(D79),0)</f>
        <v>8372</v>
      </c>
      <c r="M105" s="629" t="s">
        <v>125</v>
      </c>
      <c r="N105" s="1021" t="s">
        <v>1905</v>
      </c>
      <c r="P105" s="627" t="str">
        <f t="shared" si="18"/>
        <v>ЕШКА</v>
      </c>
      <c r="Q105" s="1032">
        <v>171.0</v>
      </c>
      <c r="R105" s="1033"/>
      <c r="S105" s="1024" t="s">
        <v>1898</v>
      </c>
      <c r="T105" s="1025" t="s">
        <v>2143</v>
      </c>
    </row>
    <row r="106" ht="19.5" customHeight="1">
      <c r="B106" s="1026" t="s">
        <v>2014</v>
      </c>
      <c r="C106" s="544"/>
      <c r="D106" s="1035">
        <f t="array" ref="D106">ROUND(3*(CHOOSE(MATCH(LOWER(TRIM(B23)),{"УРОВЕНЬ 100";"УРОВЕНЬ 95";"УРОВЕНЬ 90";"УРОВЕНЬ 80"},0),1674.8092,1561.468,1446.85,1077.44)*(1+(16*J75)/(2000+J75)+N78%)*(1-E80%)),0)</f>
        <v>6020</v>
      </c>
      <c r="E106" s="1042">
        <f t="array" ref="E106">ROUND(3*(CHOOSE(MATCH(LOWER(TRIM(B23)),{"УРОВЕНЬ 100";"УРОВЕНЬ 95";"УРОВЕНЬ 90";"УРОВЕНЬ 80"},0),1674.8092,1561.468,1446.85,1077.44)*(1+(16*J75)/(2000+J75)+N78%)*(1-E80%))*CHOOSE(MATCH(LOWER(TRIM(B106)),{"ВЕГЕТАЦИЯ";"ВЕГЕТАЦИЯ+С2";"ВЕГЕТАЦИЯ+А1";"ВЕГЕТ.+С2+А1"},0), 1,2,2,2),0)</f>
        <v>6020</v>
      </c>
      <c r="F106" s="1043">
        <f t="array" ref="F106">ROUND(3*(CHOOSE(MATCH(LOWER(TRIM(B23)),{"УРОВЕНЬ 100";"УРОВЕНЬ 95";"УРОВЕНЬ 90";"УРОВЕНЬ 80"},0),1674.8092,1561.468,1446.85,1077.44)*(1+(16*J75)/(2000+J75)+N78%)*(1-E80%))*CHOOSE(MATCH(LOWER(TRIM(B106)),{"ВЕГЕТАЦИЯ";"ВЕГЕТАЦИЯ+С2";"ВЕГЕТАЦИЯ+А1";"ВЕГЕТ.+С2+А1"},0), 1,1.2,1.15,1.45)+IF(G55=true,K68*500%,0),0)</f>
        <v>6020</v>
      </c>
      <c r="G106" s="816" t="s">
        <v>14</v>
      </c>
      <c r="H106" s="1018" t="s">
        <v>569</v>
      </c>
      <c r="I106" s="627" t="str">
        <f t="shared" si="17"/>
        <v>ЕШКА</v>
      </c>
      <c r="J106" s="1034">
        <f t="array" ref="J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УДАР"},0),J84%,J85%,J86%,J87%,J88%,0))*(1-CHOOSE(MATCH(LOWER(TRIM(N106)),{"КРИО";"ПИРО";"ЭЛЕКТРО";"ГИДРО";"АНЕМО";"ГЕО";"ДЕНДРО";"ФИЗУХА"}, 0), C83,C80,C82,C81,E81,E82,E80,E83)%)*(D79),0)</f>
        <v>981</v>
      </c>
      <c r="K106" s="1020">
        <f t="array" ref="K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УДАР"},0),J84%,J85%,J86%,J87%,J88%,0))*(1+J76%)*(1-CHOOSE(MATCH(LOWER(TRIM(N106)),{"КРИО";"ПИРО";"ЭЛЕКТРО";"ГИДРО";"АНЕМО";"ГЕО";"ДЕНДРО";"ФИЗУХА"}, 0), C83,C80,C82,C81,E81,E82,E80,E83)%)*(D79),0)</f>
        <v>3110</v>
      </c>
      <c r="L106" s="1020">
        <f t="array" ref="L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УДАР"},0),L84,L85,L81,L82,L83,0),0)+CHOOSE(MATCH(LOWER(TRIM(J27)),{"ПАР";"ОБ.ПАР";"ТАЯНИЕ";"ОБ.ТАЯНИЕ";"ОБОСТР.";"РАЗРАСТ.";"НЕТ"}, 0), 0,0,0,0,D102,D103,0))*(1+L87%+CHOOSE(MATCH(LOWER(TRIM(N106)),{"КРИО";"ПИРО";"ЭЛЕКТРО";"ГИДРО";"АНЕМО";"ГЕО";"ДЕНДРО";"ФИЗУХА"}, 0), L76,L73,L75,L74,L78,L77,L79,L80)%+CHOOSE(MATCH(LOWER(TRIM(S106)),{"ЕШКА";"УЛЬТА";"ОБ. УДАРЫ";"ЗАР. УДАРЫ";"ПРЫЖКИ";"УНИК. УДАР"},0),J84%,J85%,J86%,J87%,J88%,0))*(1+(J76%+CHOOSE(MATCH(LOWER(TRIM(S106)),{"ЕШКА";"УЛЬТА";"ОБ. УДАРЫ";"ЗАР. УДАРЫ";"ПРЫЖКИ";"УНИК. УДАР"},0),J91,J92,J89,J90,J93,0)%)*MIN((J77%+CHOOSE(MATCH(LOWER(TRIM(S106)),{"ЕШКА";"УЛЬТА";"ОБ. УДАРЫ";"ЗАР. УДАРЫ";"ПРЫЖКИ";"УНИК. УДАР"},0),L90,L91,L88,L89,L92,0)%),100%))*(1-CHOOSE(MATCH(LOWER(TRIM(N106)),{"КРИО";"ПИРО";"ЭЛЕКТРО";"ГИДРО";"АНЕМО";"ГЕО";"ДЕНДРО";"ФИЗУХА"}, 0), C83,C80,C82,C81,E81,E82,E80,E83)%)*(D79),0)</f>
        <v>2888</v>
      </c>
      <c r="M106" s="629" t="s">
        <v>125</v>
      </c>
      <c r="N106" s="1021" t="s">
        <v>1905</v>
      </c>
      <c r="P106" s="627" t="str">
        <f t="shared" si="18"/>
        <v>ЕШКА</v>
      </c>
      <c r="Q106" s="1022">
        <v>59.0</v>
      </c>
      <c r="R106" s="1023"/>
      <c r="S106" s="1024" t="s">
        <v>1898</v>
      </c>
      <c r="T106" s="1025" t="s">
        <v>2143</v>
      </c>
    </row>
    <row r="107" ht="19.5" customHeight="1">
      <c r="B107" s="1026" t="s">
        <v>2019</v>
      </c>
      <c r="C107" s="544"/>
      <c r="D107" s="1036">
        <f t="array" ref="D107">ROUND(3*(CHOOSE(MATCH(LOWER(TRIM(B23)),{"УРОВЕНЬ 100";"УРОВЕНЬ 95";"УРОВЕНЬ 90";"УРОВЕНЬ 80"},0),1674.8092,1561.468,1446.85,1077.44)*(1+(16*J75)/(2000+J75)+N79%)*(1-E80%)),0)</f>
        <v>6020</v>
      </c>
      <c r="E107" s="628">
        <f t="array" ref="E107">ROUND(3*(CHOOSE(MATCH(LOWER(TRIM(B23)),{"УРОВЕНЬ 100";"УРОВЕНЬ 95";"УРОВЕНЬ 90";"УРОВЕНЬ 80"},0),1674.8092,1561.468,1446.85,1077.44)*(1+(16*J75)/(2000+J75)+N79%)*(1-E80%))*CHOOSE(MATCH(LOWER(TRIM(B107)),{"ЦВЕТЕНИЕ";"ЦВЕТЕНИЕ+С2";"ЦВЕТЕНИЕ+А1";"ЦВЕТ.+С2+А1"},0), 1,2,2,2),0)</f>
        <v>6020</v>
      </c>
      <c r="F107" s="1044">
        <f t="array" ref="F107">ROUND(3*(CHOOSE(MATCH(LOWER(TRIM(B23)),{"УРОВЕНЬ 100";"УРОВЕНЬ 95";"УРОВЕНЬ 90";"УРОВЕНЬ 80"},0),1674.8092,1561.468,1446.85,1077.44)*(1+(16*J75)/(2000+J75)+N79%)*(1-E80%))*CHOOSE(MATCH(LOWER(TRIM(B107)),{"ЦВЕТЕНИЕ";"ЦВЕТЕНИЕ+С2";"ЦВЕТЕНИЕ+А1";"ЦВЕТ.+С2+А1"},0), 1,1.2,1.15,1.45)+IF(G55=true,K68*500%,0),0)</f>
        <v>6020</v>
      </c>
      <c r="G107" s="629" t="s">
        <v>14</v>
      </c>
      <c r="H107" s="1029" t="s">
        <v>569</v>
      </c>
      <c r="I107" s="627" t="str">
        <f t="shared" si="17"/>
        <v>УЛЬТА</v>
      </c>
      <c r="J107" s="1030">
        <f t="array" ref="J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УДАР"},0),J84%,J85%,J86%,J87%,J88%,0))*(1-CHOOSE(MATCH(LOWER(TRIM(N107)),{"КРИО";"ПИРО";"ЭЛЕКТРО";"ГИДРО";"АНЕМО";"ГЕО";"ДЕНДРО";"ФИЗУХА"}, 0), C83,C80,C82,C81,E81,E82,E80,E83)%)*(D79),0)</f>
        <v>0</v>
      </c>
      <c r="K107" s="1031">
        <f t="array" ref="K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УДАР"},0),J84%,J85%,J86%,J87%,J88%,0))*(1+J76%)*(1-CHOOSE(MATCH(LOWER(TRIM(N107)),{"КРИО";"ПИРО";"ЭЛЕКТРО";"ГИДРО";"АНЕМО";"ГЕО";"ДЕНДРО";"ФИЗУХА"}, 0), C83,C80,C82,C81,E81,E82,E80,E83)%)*(D79),0)</f>
        <v>0</v>
      </c>
      <c r="L107" s="1031">
        <f t="array" ref="L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УДАР"},0),L84,L85,L81,L82,L83,0),0)+CHOOSE(MATCH(LOWER(TRIM(J28)),{"ПАР";"ОБ.ПАР";"ТАЯНИЕ";"ОБ.ТАЯНИЕ";"ОБОСТР.";"РАЗРАСТ.";"НЕТ"}, 0), 0,0,0,0,D102,D103,0))*(1+L87%+CHOOSE(MATCH(LOWER(TRIM(N107)),{"КРИО";"ПИРО";"ЭЛЕКТРО";"ГИДРО";"АНЕМО";"ГЕО";"ДЕНДРО";"ФИЗУХА"}, 0), L76,L73,L75,L74,L78,L77,L79,L80)%+CHOOSE(MATCH(LOWER(TRIM(S107)),{"ЕШКА";"УЛЬТА";"ОБ. УДАРЫ";"ЗАР. УДАРЫ";"ПРЫЖКИ";"УНИК. УДАР"},0),J84%,J85%,J86%,J87%,J88%,0))*(1+(J76%+CHOOSE(MATCH(LOWER(TRIM(S107)),{"ЕШКА";"УЛЬТА";"ОБ. УДАРЫ";"ЗАР. УДАРЫ";"ПРЫЖКИ";"УНИК. УДАР"},0),J91,J92,J89,J90,J93,0)%)*MIN((J77%+CHOOSE(MATCH(LOWER(TRIM(S107)),{"ЕШКА";"УЛЬТА";"ОБ. УДАРЫ";"ЗАР. УДАРЫ";"ПРЫЖКИ";"УНИК. УДАР"},0),L90,L91,L88,L89,L92,0)%),100%))*(1-CHOOSE(MATCH(LOWER(TRIM(N107)),{"КРИО";"ПИРО";"ЭЛЕКТРО";"ГИДРО";"АНЕМО";"ГЕО";"ДЕНДРО";"ФИЗУХА"}, 0), C83,C80,C82,C81,E81,E82,E80,E83)%)*(D79),0)</f>
        <v>0</v>
      </c>
      <c r="M107" s="629" t="s">
        <v>125</v>
      </c>
      <c r="N107" s="1021" t="s">
        <v>1905</v>
      </c>
      <c r="P107" s="627" t="str">
        <f t="shared" si="18"/>
        <v>УЛЬТА</v>
      </c>
      <c r="Q107" s="1032"/>
      <c r="R107" s="1033"/>
      <c r="S107" s="1024" t="s">
        <v>1902</v>
      </c>
      <c r="T107" s="1025" t="s">
        <v>2143</v>
      </c>
    </row>
    <row r="108" ht="19.5" customHeight="1">
      <c r="B108" s="1014" t="s">
        <v>2158</v>
      </c>
      <c r="C108" s="544"/>
      <c r="D108" s="1035">
        <f t="array" ref="D108">ROUND(2*(CHOOSE(MATCH(LOWER(TRIM(B23)),{"УРОВЕНЬ 100";"УРОВЕНЬ 95";"УРОВЕНЬ 90";"УРОВЕНЬ 80"},0),1674.8092,1561.468,1446.85,1077.44)*(1+(16*J75)/(2000+J75)+N80%)*(1-C82%)),0)</f>
        <v>4013</v>
      </c>
      <c r="E108" s="817" t="s">
        <v>14</v>
      </c>
      <c r="F108" s="1016" t="s">
        <v>14</v>
      </c>
      <c r="G108" s="816" t="s">
        <v>14</v>
      </c>
      <c r="H108" s="1018" t="s">
        <v>560</v>
      </c>
      <c r="I108" s="627" t="str">
        <f t="shared" si="17"/>
        <v>УЛЬТА</v>
      </c>
      <c r="J108" s="1034">
        <f t="array" ref="J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УДАР"},0),J84%,J85%,J86%,J87%,J88%,0))*(1-CHOOSE(MATCH(LOWER(TRIM(N108)),{"КРИО";"ПИРО";"ЭЛЕКТРО";"ГИДРО";"АНЕМО";"ГЕО";"ДЕНДРО";"ФИЗУХА"}, 0), C83,C80,C82,C81,E81,E82,E80,E83)%)*(D79),0)</f>
        <v>1277</v>
      </c>
      <c r="K108" s="1020">
        <f t="array" ref="K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УДАР"},0),J84%,J85%,J86%,J87%,J88%,0))*(1+J76%)*(1-CHOOSE(MATCH(LOWER(TRIM(N108)),{"КРИО";"ПИРО";"ЭЛЕКТРО";"ГИДРО";"АНЕМО";"ГЕО";"ДЕНДРО";"ФИЗУХА"}, 0), C83,C80,C82,C81,E81,E82,E80,E83)%)*(D79),0)</f>
        <v>4048</v>
      </c>
      <c r="L108" s="1020">
        <f t="array" ref="L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УДАР"},0),L84,L85,L81,L82,L83,0),0)+CHOOSE(MATCH(LOWER(TRIM(J29)),{"ПАР";"ОБ.ПАР";"ТАЯНИЕ";"ОБ.ТАЯНИЕ";"ОБОСТР.";"РАЗРАСТ.";"НЕТ"}, 0), 0,0,0,0,D102,D103,0))*(1+L87%+CHOOSE(MATCH(LOWER(TRIM(N108)),{"КРИО";"ПИРО";"ЭЛЕКТРО";"ГИДРО";"АНЕМО";"ГЕО";"ДЕНДРО";"ФИЗУХА"}, 0), L76,L73,L75,L74,L78,L77,L79,L80)%+CHOOSE(MATCH(LOWER(TRIM(S108)),{"ЕШКА";"УЛЬТА";"ОБ. УДАРЫ";"ЗАР. УДАРЫ";"ПРЫЖКИ";"УНИК. УДАР"},0),J84%,J85%,J86%,J87%,J88%,0))*(1+(J76%+CHOOSE(MATCH(LOWER(TRIM(S108)),{"ЕШКА";"УЛЬТА";"ОБ. УДАРЫ";"ЗАР. УДАРЫ";"ПРЫЖКИ";"УНИК. УДАР"},0),J91,J92,J89,J90,J93,0)%)*MIN((J77%+CHOOSE(MATCH(LOWER(TRIM(S108)),{"ЕШКА";"УЛЬТА";"ОБ. УДАРЫ";"ЗАР. УДАРЫ";"ПРЫЖКИ";"УНИК. УДАР"},0),L90,L91,L88,L89,L92,0)%),100%))*(1-CHOOSE(MATCH(LOWER(TRIM(N108)),{"КРИО";"ПИРО";"ЭЛЕКТРО";"ГИДРО";"АНЕМО";"ГЕО";"ДЕНДРО";"ФИЗУХА"}, 0), C83,C80,C82,C81,E81,E82,E80,E83)%)*(D79),0)</f>
        <v>3760</v>
      </c>
      <c r="M108" s="629" t="s">
        <v>125</v>
      </c>
      <c r="N108" s="1021" t="s">
        <v>1905</v>
      </c>
      <c r="P108" s="627" t="str">
        <f t="shared" si="18"/>
        <v>УЛЬТА</v>
      </c>
      <c r="Q108" s="1022">
        <v>76.8</v>
      </c>
      <c r="R108" s="1023"/>
      <c r="S108" s="1024" t="s">
        <v>1902</v>
      </c>
      <c r="T108" s="1025" t="s">
        <v>2143</v>
      </c>
    </row>
    <row r="109" ht="19.5" customHeight="1">
      <c r="B109" s="1026" t="s">
        <v>2159</v>
      </c>
      <c r="C109" s="544"/>
      <c r="D109" s="1036">
        <f t="array" ref="D109">ROUND(1.8*(CHOOSE(MATCH(LOWER(TRIM(B23)),{"УРОВЕНЬ 100";"УРОВЕНЬ 95";"УРОВЕНЬ 90";"УРОВЕНЬ 80"},0),1674.8092,1561.468,1446.85,1077.44)*(1+MIN((K67+M67)*0.00007, 0.28))*(1+(6*J75)/(2000+J75)+N81%)*(1-C82%)),0)</f>
        <v>2819</v>
      </c>
      <c r="E109" s="628">
        <f t="array" ref="E109">ROUND(1.8*(CHOOSE(MATCH(LOWER(TRIM(B23)),{"УРОВЕНЬ 100";"УРОВЕНЬ 95";"УРОВЕНЬ 90";"УРОВЕНЬ 80"},0),1674.8092,1561.468,1446.85,1077.44)*(1+MIN((K67+M67)*0.00007, 0.28))*(1+(6*J75)/(2000+J75)+N81%)*(1-C82%)*(1+J76%)),0)</f>
        <v>8941</v>
      </c>
      <c r="F109" s="1044">
        <f t="array" ref="F109">ROUND(1.8*(CHOOSE(MATCH(LOWER(TRIM(B23)),{"УРОВЕНЬ 100";"УРОВЕНЬ 95";"УРОВЕНЬ 90";"УРОВЕНЬ 80"},0),1674.8092,1561.468,1446.85,1077.44)*(1+MIN((K67+M67)*0.00007, 0.28))*(1+(6*J75)/(2000+J75)+N81%)*(1-C82%)*(1+J76%*J77%)),0)</f>
        <v>8304</v>
      </c>
      <c r="G109" s="629" t="s">
        <v>14</v>
      </c>
      <c r="H109" s="1029" t="s">
        <v>560</v>
      </c>
      <c r="I109" s="627" t="str">
        <f t="shared" si="17"/>
        <v>УЛЬТА</v>
      </c>
      <c r="J109" s="1030">
        <f t="array" ref="J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УДАР"},0),J84%,J85%,J86%,J87%,J88%,0))*(1-CHOOSE(MATCH(LOWER(TRIM(N109)),{"КРИО";"ПИРО";"ЭЛЕКТРО";"ГИДРО";"АНЕМО";"ГЕО";"ДЕНДРО";"ФИЗУХА"}, 0), C83,C80,C82,C81,E81,E82,E80,E83)%)*(D79),0)</f>
        <v>1277</v>
      </c>
      <c r="K109" s="1031">
        <f t="array" ref="K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УДАР"},0),J84%,J85%,J86%,J87%,J88%,0))*(1+J76%)*(1-CHOOSE(MATCH(LOWER(TRIM(N109)),{"КРИО";"ПИРО";"ЭЛЕКТРО";"ГИДРО";"АНЕМО";"ГЕО";"ДЕНДРО";"ФИЗУХА"}, 0), C83,C80,C82,C81,E81,E82,E80,E83)%)*(D79),0)</f>
        <v>4048</v>
      </c>
      <c r="L109" s="1031">
        <f t="array" ref="L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УДАР"},0),L84,L85,L81,L82,L83,0),0)+CHOOSE(MATCH(LOWER(TRIM(J30)),{"ПАР";"ОБ.ПАР";"ТАЯНИЕ";"ОБ.ТАЯНИЕ";"ОБОСТР.";"РАЗРАСТ.";"НЕТ"}, 0), 0,0,0,0,D102,D103,0))*(1+L87%+CHOOSE(MATCH(LOWER(TRIM(N109)),{"КРИО";"ПИРО";"ЭЛЕКТРО";"ГИДРО";"АНЕМО";"ГЕО";"ДЕНДРО";"ФИЗУХА"}, 0), L76,L73,L75,L74,L78,L77,L79,L80)%+CHOOSE(MATCH(LOWER(TRIM(S109)),{"ЕШКА";"УЛЬТА";"ОБ. УДАРЫ";"ЗАР. УДАРЫ";"ПРЫЖКИ";"УНИК. УДАР"},0),J84%,J85%,J86%,J87%,J88%,0))*(1+(J76%+CHOOSE(MATCH(LOWER(TRIM(S109)),{"ЕШКА";"УЛЬТА";"ОБ. УДАРЫ";"ЗАР. УДАРЫ";"ПРЫЖКИ";"УНИК. УДАР"},0),J91,J92,J89,J90,J93,0)%)*MIN((J77%+CHOOSE(MATCH(LOWER(TRIM(S109)),{"ЕШКА";"УЛЬТА";"ОБ. УДАРЫ";"ЗАР. УДАРЫ";"ПРЫЖКИ";"УНИК. УДАР"},0),L90,L91,L88,L89,L92,0)%),100%))*(1-CHOOSE(MATCH(LOWER(TRIM(N109)),{"КРИО";"ПИРО";"ЭЛЕКТРО";"ГИДРО";"АНЕМО";"ГЕО";"ДЕНДРО";"ФИЗУХА"}, 0), C83,C80,C82,C81,E81,E82,E80,E83)%)*(D79),0)</f>
        <v>3760</v>
      </c>
      <c r="M109" s="629" t="s">
        <v>125</v>
      </c>
      <c r="N109" s="1021" t="s">
        <v>1905</v>
      </c>
      <c r="P109" s="627" t="str">
        <f t="shared" si="18"/>
        <v>УЛЬТА</v>
      </c>
      <c r="Q109" s="1032">
        <v>76.8</v>
      </c>
      <c r="R109" s="1033"/>
      <c r="S109" s="1024" t="s">
        <v>1902</v>
      </c>
      <c r="T109" s="1025" t="s">
        <v>2143</v>
      </c>
    </row>
    <row r="110" ht="19.5" customHeight="1">
      <c r="B110" s="1014" t="s">
        <v>2160</v>
      </c>
      <c r="C110" s="544"/>
      <c r="D110" s="1042">
        <f t="array" ref="D110">ROUND((1.8*(CHOOSE(MATCH(LOWER(TRIM(B23)),{"УРОВЕНЬ 100";"УРОВЕНЬ 95";"УРОВЕНЬ 90";"УРОВЕНЬ 80"},0),1674.8092,1561.468,1446.85,1446.85,1077.44)*(1+MIN((K67+M67)*0.00007, 0.28))*(1+(6*J75)/(2000+J75)+N81%)*(1-C82%)))/2,0)</f>
        <v>1410</v>
      </c>
      <c r="E110" s="1042">
        <f t="array" ref="E110">ROUND((1.8*(CHOOSE(MATCH(LOWER(TRIM(B23)),{"УРОВЕНЬ 100";"УРОВЕНЬ 95";"УРОВЕНЬ 90";"УРОВЕНЬ 80"},0),1674.8092,1561.468,1446.85,1446.85,1077.44)*(1+MIN((K67+M67)*0.00007, 0.28))*(1+(6*J75)/(2000+J75)+N81%)*(1-C82%)*(1+J76%*J77%)))/2,0)</f>
        <v>4152</v>
      </c>
      <c r="F110" s="1042">
        <f t="array" ref="F110">ROUND((1.8*(CHOOSE(MATCH(LOWER(TRIM(B23)),{"УРОВЕНЬ 100";"УРОВЕНЬ 95";"УРОВЕНЬ 90";"УРОВЕНЬ 80"},0),1674.8092,1561.468,1446.85,1446.85,1077.44)*(1+MIN((K67+M67)*0.00007, 0.28))*(1+(6*J75)/(2000+J75)+N81%)*(1-C82%)*(1+J76%*J77%)))/2,0)</f>
        <v>4152</v>
      </c>
      <c r="G110" s="816" t="s">
        <v>14</v>
      </c>
      <c r="H110" s="1018" t="s">
        <v>560</v>
      </c>
      <c r="I110" s="627" t="str">
        <f t="shared" si="17"/>
        <v>УЛЬТА</v>
      </c>
      <c r="J110" s="1034">
        <f t="array" ref="J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УДАР"},0),J84%,J85%,J86%,J87%,J88%,0))*(1-CHOOSE(MATCH(LOWER(TRIM(N110)),{"КРИО";"ПИРО";"ЭЛЕКТРО";"ГИДРО";"АНЕМО";"ГЕО";"ДЕНДРО";"ФИЗУХА"}, 0), C83,C80,C82,C81,E81,E82,E80,E83)%)*(D79),0)</f>
        <v>1277</v>
      </c>
      <c r="K110" s="1020">
        <f t="array" ref="K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УДАР"},0),J84%,J85%,J86%,J87%,J88%,0))*(1+J76%)*(1-CHOOSE(MATCH(LOWER(TRIM(N110)),{"КРИО";"ПИРО";"ЭЛЕКТРО";"ГИДРО";"АНЕМО";"ГЕО";"ДЕНДРО";"ФИЗУХА"}, 0), C83,C80,C82,C81,E81,E82,E80,E83)%)*(D79),0)</f>
        <v>4048</v>
      </c>
      <c r="L110" s="1020">
        <f t="array" ref="L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УДАР"},0),L84,L85,L81,L82,L83,0),0)+CHOOSE(MATCH(LOWER(TRIM(J31)),{"ПАР";"ОБ.ПАР";"ТАЯНИЕ";"ОБ.ТАЯНИЕ";"ОБОСТР.";"РАЗРАСТ.";"НЕТ"}, 0), 0,0,0,0,D102,D103,0))*(1+L87%+CHOOSE(MATCH(LOWER(TRIM(N110)),{"КРИО";"ПИРО";"ЭЛЕКТРО";"ГИДРО";"АНЕМО";"ГЕО";"ДЕНДРО";"ФИЗУХА"}, 0), L76,L73,L75,L74,L78,L77,L79,L80)%+CHOOSE(MATCH(LOWER(TRIM(S110)),{"ЕШКА";"УЛЬТА";"ОБ. УДАРЫ";"ЗАР. УДАРЫ";"ПРЫЖКИ";"УНИК. УДАР"},0),J84%,J85%,J86%,J87%,J88%,0))*(1+(J76%+CHOOSE(MATCH(LOWER(TRIM(S110)),{"ЕШКА";"УЛЬТА";"ОБ. УДАРЫ";"ЗАР. УДАРЫ";"ПРЫЖКИ";"УНИК. УДАР"},0),J91,J92,J89,J90,J93,0)%)*MIN((J77%+CHOOSE(MATCH(LOWER(TRIM(S110)),{"ЕШКА";"УЛЬТА";"ОБ. УДАРЫ";"ЗАР. УДАРЫ";"ПРЫЖКИ";"УНИК. УДАР"},0),L90,L91,L88,L89,L92,0)%),100%))*(1-CHOOSE(MATCH(LOWER(TRIM(N110)),{"КРИО";"ПИРО";"ЭЛЕКТРО";"ГИДРО";"АНЕМО";"ГЕО";"ДЕНДРО";"ФИЗУХА"}, 0), C83,C80,C82,C81,E81,E82,E80,E83)%)*(D79)*IF(F39=true,1.2,1),0)</f>
        <v>3760</v>
      </c>
      <c r="M110" s="629" t="s">
        <v>125</v>
      </c>
      <c r="N110" s="1021" t="s">
        <v>1905</v>
      </c>
      <c r="P110" s="627" t="str">
        <f t="shared" si="18"/>
        <v>УЛЬТА</v>
      </c>
      <c r="Q110" s="1022">
        <v>76.8</v>
      </c>
      <c r="R110" s="1023"/>
      <c r="S110" s="1024" t="s">
        <v>1902</v>
      </c>
      <c r="T110" s="1025" t="s">
        <v>2143</v>
      </c>
    </row>
    <row r="111" ht="19.5" customHeight="1">
      <c r="B111" s="1026" t="s">
        <v>2161</v>
      </c>
      <c r="C111" s="544"/>
      <c r="D111" s="628">
        <f t="array" ref="D111">ROUND((1.8*(CHOOSE(MATCH(LOWER(TRIM(B23)),{"УРОВЕНЬ 100";"УРОВЕНЬ 95";"УРОВЕНЬ 90";"УРОВЕНЬ 80"},0),1674.8092,1561.468,1446.85,1077.44)*(1+MIN((K67+M67)*0.00007, 0.28))*(1+(6*J75)/(2000+J75)+N81%)*(1-C82%)))/12,0)</f>
        <v>235</v>
      </c>
      <c r="E111" s="628">
        <f t="array" ref="E111">ROUND((1.8*(CHOOSE(MATCH(LOWER(TRIM(B23)),{"УРОВЕНЬ 100";"УРОВЕНЬ 95";"УРОВЕНЬ 90";"УРОВЕНЬ 80"},0),1674.8092,1561.468,1446.85,1077.44)*(1+MIN((K67+M67)*0.00007, 0.28))*(1+(6*J75)/(2000+J75)+N81%)*(1-C82%)*(1+J76%)))/12,0)</f>
        <v>745</v>
      </c>
      <c r="F111" s="628">
        <f t="array" ref="F111">ROUND((1.8*(CHOOSE(MATCH(LOWER(TRIM(B23)),{"УРОВЕНЬ 100";"УРОВЕНЬ 95";"УРОВЕНЬ 90";"УРОВЕНЬ 80"},0),1674.8092,1561.468,1446.85,1077.44)*(1 + MIN((K67 + M67) * 0.00007, 0.28))*(1+(6*J75)/(2000+J75)+N81%)*(1-C82%)*(1+J76%*J77%)))/12,0)</f>
        <v>692</v>
      </c>
      <c r="G111" s="629" t="s">
        <v>14</v>
      </c>
      <c r="H111" s="1029" t="s">
        <v>560</v>
      </c>
      <c r="I111" s="627" t="str">
        <f t="shared" si="17"/>
        <v>УНИК. УДАР</v>
      </c>
      <c r="J111" s="1030">
        <f t="array" ref="J111">ROUND((CHOOSE(MATCH(LOWER(TRIM(M111)),{"СА";"СА+ХП";"СА+МС";"СА+ЗЩ";"ХП";"ЗЩ"}, 0), J74,J74,J74,J74,J78,J79)*Q111%+CHOOSE(MATCH(LOWER(TRIM(M111)),{"СА";"СА+ХП";"СА+МС";"СА+ЗЩ";"ХП";"ЗЩ"}, 0), 0,J78,J75,J79,0,0)*R111%+IF(L31=TRUE,L86+CHOOSE(MATCH(LOWER(TRIM(S111)),{"ЕШКА";"УЛЬТА";"ОБ.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УДАР"},0),J84%,J85%,J86%,J87%,J88%,0))*(1-CHOOSE(MATCH(LOWER(TRIM(N111)),{"КРИО";"ПИРО";"ЭЛЕКТРО";"ГИДРО";"АНЕМО";"ГЕО";"ДЕНДРО";"ФИЗУХА"}, 0), C83,C80,C82,C81,E81,E82,E80,E83)%)*(D79),0)</f>
        <v>9226</v>
      </c>
      <c r="K111" s="1031">
        <f t="array" ref="K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УДАР"},0),J84%,J85%,J86%,J87%,J88%,0))*(1+J76%)*(1-CHOOSE(MATCH(LOWER(TRIM(N111)),{"КРИО";"ПИРО";"ЭЛЕКТРО";"ГИДРО";"АНЕМО";"ГЕО";"ДЕНДРО";"ФИЗУХА"}, 0), C83,C80,C82,C81,E81,E82,E80,E83)%)*(D79),0)</f>
        <v>29254</v>
      </c>
      <c r="L111" s="1031">
        <f t="array" ref="L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УДАР"},0),L84,L85,L81,L82,L83,0),0)+CHOOSE(MATCH(LOWER(TRIM(J32)),{"ПАР";"ОБ.ПАР";"ТАЯНИЕ";"ОБ.ТАЯНИЕ";"ОБОСТР.";"РАЗРАСТ.";"НЕТ"}, 0), 0,0,0,0,D102,D103,0))*(1+L87%+CHOOSE(MATCH(LOWER(TRIM(N111)),{"КРИО";"ПИРО";"ЭЛЕКТРО";"ГИДРО";"АНЕМО";"ГЕО";"ДЕНДРО";"ФИЗУХА"}, 0), L76,L73,L75,L74,L78,L77,L79,L80)%+CHOOSE(MATCH(LOWER(TRIM(S111)),{"ЕШКА";"УЛЬТА";"ОБ. УДАРЫ";"ЗАР. УДАРЫ";"ПРЫЖКИ";"УНИК. УДАР"},0),J84%,J85%,J86%,J87%,J88%,0))*(1+(J76%+CHOOSE(MATCH(LOWER(TRIM(S111)),{"ЕШКА";"УЛЬТА";"ОБ. УДАРЫ";"ЗАР. УДАРЫ";"ПРЫЖКИ";"УНИК. УДАР"},0),J91,J92,J89,J90,J93,0)%)*MIN((J77%+CHOOSE(MATCH(LOWER(TRIM(S111)),{"ЕШКА";"УЛЬТА";"ОБ. УДАРЫ";"ЗАР. УДАРЫ";"ПРЫЖКИ";"УНИК. УДАР"},0),L90,L91,L88,L89,L92,0)%),100%))*(1-CHOOSE(MATCH(LOWER(TRIM(N111)),{"КРИО";"ПИРО";"ЭЛЕКТРО";"ГИДРО";"АНЕМО";"ГЕО";"ДЕНДРО";"ФИЗУХА"}, 0), C83,C80,C82,C81,E81,E82,E80,E83)%)*(D79)*IF(F45=true,2,1),0)</f>
        <v>27171</v>
      </c>
      <c r="M111" s="629" t="s">
        <v>125</v>
      </c>
      <c r="N111" s="1021" t="s">
        <v>1905</v>
      </c>
      <c r="P111" s="627" t="str">
        <f t="shared" si="18"/>
        <v>УНИК. УДАР</v>
      </c>
      <c r="Q111" s="1032">
        <v>555.0</v>
      </c>
      <c r="R111" s="1033"/>
      <c r="S111" s="1024" t="s">
        <v>2157</v>
      </c>
      <c r="T111" s="1025" t="s">
        <v>2143</v>
      </c>
    </row>
    <row r="112" ht="19.5" customHeight="1">
      <c r="B112" s="1014" t="s">
        <v>2036</v>
      </c>
      <c r="C112" s="544"/>
      <c r="D112" s="1035">
        <f t="array" ref="D112">ROUND(2.75*(CHOOSE(MATCH(LOWER(TRIM(B23)),{"УРОВЕНЬ 100";"УРОВЕНЬ 95";"УРОВЕНЬ 90";"УРОВЕНЬ 80"},0),1674.8092,1561.468,1446.85,1077.44)*(1+(16*J75)/(2000+J75)+N82%)*(1-C80%)),0)</f>
        <v>5518</v>
      </c>
      <c r="E112" s="817" t="s">
        <v>14</v>
      </c>
      <c r="F112" s="1016" t="s">
        <v>14</v>
      </c>
      <c r="G112" s="816" t="s">
        <v>14</v>
      </c>
      <c r="H112" s="1018" t="s">
        <v>559</v>
      </c>
      <c r="I112" s="627" t="str">
        <f t="shared" si="17"/>
        <v>УНИК. УДАР</v>
      </c>
      <c r="J112" s="1034">
        <f t="array" ref="J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(1+L87%+CHOOSE(MATCH(LOWER(TRIM(N112)),{"КРИО";"ПИРО";"ЭЛЕКТРО";"ГИДРО";"АНЕМО";"ГЕО";"ДЕНДРО";"ФИЗУХА"}, 0), L76,L73,L75,L74,L78,L77,L79,L80)%+CHOOSE(MATCH(LOWER(TRIM(S112)),{"ЕШКА";"УЛЬТА";"ОБ. УДАРЫ";"ЗАР. УДАРЫ";"ПРЫЖКИ";"УНИК. УДАР"},0),J84%,J85%,J86%,J87%,J88%,0))
*(1-CHOOSE(MATCH(LOWER(TRIM(N112)),{"КРИО";"ПИРО";"ЭЛЕКТРО";"ГИДРО";"АНЕМО";"ГЕО";"ДЕНДРО";"ФИЗУХА"}, 0), C83,C80,C82,C81,E81,E82,E80,E83)%)*(D79),0)</f>
        <v>0</v>
      </c>
      <c r="K112" s="1020">
        <f t="array" ref="K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(1+L87%+CHOOSE(MATCH(LOWER(TRIM(N112)),{"КРИО";"ПИРО";"ЭЛЕКТРО";"ГИДРО";"АНЕМО";"ГЕО";"ДЕНДРО";"ФИЗУХА"}, 0), L76,L73,L75,L74,L78,L77,L79,L80)%+CHOOSE(MATCH(LOWER(TRIM(S112)),{"ЕШКА";"УЛЬТА";"ОБ. УДАРЫ";"ЗАР. УДАРЫ";"ПРЫЖКИ";"УНИК. УДАР"},0),J84%,J85%,J86%,J87%,J88%,0))
*(1+J76%)*(1-CHOOSE(MATCH(LOWER(TRIM(N112)),{"КРИО";"ПИРО";"ЭЛЕКТРО";"ГИДРО";"АНЕМО";"ГЕО";"ДЕНДРО";"ФИЗУХА"}, 0), C83,C80,C82,C81,E81,E82,E80,E83)%)*(D79),0)</f>
        <v>0</v>
      </c>
      <c r="L112" s="1020">
        <f t="array" ref="L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CHOOSE(MATCH(LOWER(TRIM(J33)),{"ПАР";"ОБ.ПАР";"ТАЯНИЕ";"ОБ.ТАЯНИЕ";"ОБОСТР.";"РАЗРАСТ.";"НЕТ"}, 0), 0,0,0,0,D102,D103,0))
*(1+L87%+CHOOSE(MATCH(LOWER(TRIM(N112)),{"КРИО";"ПИРО";"ЭЛЕКТРО";"ГИДРО";"АНЕМО";"ГЕО";"ДЕНДРО";"ФИЗУХА"}, 0), L76,L73,L75,L74,L78,L77,L79,L80)%+CHOOSE(MATCH(LOWER(TRIM(S112)),{"ЕШКА";"УЛЬТА";"ОБ. УДАРЫ";"ЗАР. УДАРЫ";"ПРЫЖКИ";"УНИК. УДАР"},0),J84%,J85%,J86%,J87%,J88%,0))
*(1+(J76%+CHOOSE(MATCH(LOWER(TRIM(S112)),{"ЕШКА";"УЛЬТА";"ОБ. УДАРЫ";"ЗАР. УДАРЫ";"ПРЫЖКИ";"УНИК. УДАР"},0),J91,J92,J89,J90,J93,0)%)*MIN((J77%+CHOOSE(MATCH(LOWER(TRIM(S112)),{"ЕШКА";"УЛЬТА";"ОБ. УДАРЫ";"ЗАР. УДАРЫ";"ПРЫЖКИ";"УНИК. УДАР"},0),L90,L91,L88,L89,L92,0)%),100%))*(1-CHOOSE(MATCH(LOWER(TRIM(N112)),{"КРИО";"ПИРО";"ЭЛЕКТРО";"ГИДРО";"АНЕМО";"ГЕО";"ДЕНДРО";"ФИЗУХА"}, 0), C83,C80,C82,C81,E81,E82,E80,E83)%)*(D79),0)</f>
        <v>0</v>
      </c>
      <c r="M112" s="629" t="s">
        <v>125</v>
      </c>
      <c r="N112" s="1021" t="s">
        <v>1905</v>
      </c>
      <c r="P112" s="627" t="str">
        <f t="shared" si="18"/>
        <v>УНИК. УДАР</v>
      </c>
      <c r="Q112" s="1022"/>
      <c r="R112" s="1023"/>
      <c r="S112" s="1024" t="s">
        <v>2157</v>
      </c>
      <c r="T112" s="1025" t="s">
        <v>2143</v>
      </c>
    </row>
    <row r="113" ht="19.5" customHeight="1">
      <c r="B113" s="1026" t="s">
        <v>2038</v>
      </c>
      <c r="C113" s="544"/>
      <c r="D113" s="1036">
        <f t="array" ref="D113">ROUND((0.25*(CHOOSE(MATCH(LOWER(TRIM(B23)),{"УРОВЕНЬ 100";"УРОВЕНЬ 95";"УРОВЕНЬ 90";"УРОВЕНЬ 80"},0),1674.8092,1561.468,1446.85,1077.44)*(1+(16*J75)/(2000+J75)+N83%)*(1-C80%))),0)</f>
        <v>502</v>
      </c>
      <c r="E113" s="630" t="s">
        <v>14</v>
      </c>
      <c r="F113" s="573" t="s">
        <v>14</v>
      </c>
      <c r="G113" s="629" t="s">
        <v>14</v>
      </c>
      <c r="H113" s="1029" t="s">
        <v>559</v>
      </c>
      <c r="I113" s="627" t="str">
        <f t="shared" si="17"/>
        <v>УНИК. УДАР</v>
      </c>
      <c r="J113" s="1030">
        <f t="array" ref="J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(1+L87%+CHOOSE(MATCH(LOWER(TRIM(N113)),{"КРИО";"ПИРО";"ЭЛЕКТРО";"ГИДРО";"АНЕМО";"ГЕО";"ДЕНДРО";"ФИЗУХА"}, 0), L76,L73,L75,L74,L78,L77,L79,L80)%+CHOOSE(MATCH(LOWER(TRIM(S113)),{"ЕШКА";"УЛЬТА";"ОБ. УДАРЫ";"ЗАР. УДАРЫ";"ПРЫЖКИ";"УНИК. УДАР"},0),J84%,J85%,J86%,J87%,J88%,0))
*(1-CHOOSE(MATCH(LOWER(TRIM(N113)),{"КРИО";"ПИРО";"ЭЛЕКТРО";"ГИДРО";"АНЕМО";"ГЕО";"ДЕНДРО";"ФИЗУХА"}, 0), C83,C80,C82,C81,E81,E82,E80,E83)%)*(D79),0)</f>
        <v>0</v>
      </c>
      <c r="K113" s="1031">
        <f t="array" ref="K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(1+L87%+CHOOSE(MATCH(LOWER(TRIM(N113)),{"КРИО";"ПИРО";"ЭЛЕКТРО";"ГИДРО";"АНЕМО";"ГЕО";"ДЕНДРО";"ФИЗУХА"}, 0), L76,L73,L75,L74,L78,L77,L79,L80)%+CHOOSE(MATCH(LOWER(TRIM(S113)),{"ЕШКА";"УЛЬТА";"ОБ. УДАРЫ";"ЗАР. УДАРЫ";"ПРЫЖКИ";"УНИК. УДАР"},0),J84%,J85%,J86%,J87%,J88%,0))
*(1+J76%)*(1-CHOOSE(MATCH(LOWER(TRIM(N113)),{"КРИО";"ПИРО";"ЭЛЕКТРО";"ГИДРО";"АНЕМО";"ГЕО";"ДЕНДРО";"ФИЗУХА"}, 0), C83,C80,C82,C81,E81,E82,E80,E83)%)*(D79),0)</f>
        <v>0</v>
      </c>
      <c r="L113" s="1031">
        <f t="array" ref="L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CHOOSE(MATCH(LOWER(TRIM(J34)),{"ПАР";"ОБ.ПАР";"ТАЯНИЕ";"ОБ.ТАЯНИЕ";"ОБОСТР.";"РАЗРАСТ.";"НЕТ"}, 0), 0,0,0,0,D102,D103,0))
*(1+L87%+CHOOSE(MATCH(LOWER(TRIM(N113)),{"КРИО";"ПИРО";"ЭЛЕКТРО";"ГИДРО";"АНЕМО";"ГЕО";"ДЕНДРО";"ФИЗУХА"}, 0), L76,L73,L75,L74,L78,L77,L79,L80)%+CHOOSE(MATCH(LOWER(TRIM(S113)),{"ЕШКА";"УЛЬТА";"ОБ. УДАРЫ";"ЗАР. УДАРЫ";"ПРЫЖКИ";"УНИК. УДАР"},0),J84%,J85%,J86%,J87%,J88%,0))
*(1+(J76%+CHOOSE(MATCH(LOWER(TRIM(S113)),{"ЕШКА";"УЛЬТА";"ОБ. УДАРЫ";"ЗАР. УДАРЫ";"ПРЫЖКИ";"УНИК. УДАР"},0),J91,J92,J89,J90,J93,0)%)*MIN((J77%+CHOOSE(MATCH(LOWER(TRIM(S113)),{"ЕШКА";"УЛЬТА";"ОБ. УДАРЫ";"ЗАР. УДАРЫ";"ПРЫЖКИ";"УНИК. УДАР"},0),L90,L91,L88,L89,L92,0)%),100%))*(1-CHOOSE(MATCH(LOWER(TRIM(N113)),{"КРИО";"ПИРО";"ЭЛЕКТРО";"ГИДРО";"АНЕМО";"ГЕО";"ДЕНДРО";"ФИЗУХА"}, 0), C83,C80,C82,C81,E81,E82,E80,E83)%)*(D79),0)</f>
        <v>0</v>
      </c>
      <c r="M113" s="629" t="s">
        <v>125</v>
      </c>
      <c r="N113" s="1021" t="s">
        <v>1905</v>
      </c>
      <c r="P113" s="627" t="str">
        <f t="shared" si="18"/>
        <v>УНИК. УДАР</v>
      </c>
      <c r="Q113" s="1032"/>
      <c r="R113" s="1033"/>
      <c r="S113" s="1024" t="s">
        <v>2157</v>
      </c>
      <c r="T113" s="1025" t="s">
        <v>2143</v>
      </c>
    </row>
    <row r="114" ht="19.5" customHeight="1">
      <c r="B114" s="1026" t="s">
        <v>2162</v>
      </c>
      <c r="C114" s="544"/>
      <c r="D114" s="1035">
        <f t="array" ref="D114">ROUND(0.6*(CHOOSE(MATCH(LOWER(TRIM(B23)),{"УРОВЕНЬ 100";"УРОВЕНЬ 95";"УРОВЕНЬ 90";"УРОВЕНЬ 80"},0),1674.8092,1561.468,1446.85,1077.44)*(1+(16*J75)/(2000+J75)+N84%)*(1-CHOOSE(MATCH(LOWER(TRIM(H114)),{"🔥ПИРО";"💧ГИДРО";"⚡️ЭЛЕКТРО";"❄️КРИО"},0),C80%,C81%,C82%,C83%))),0)</f>
        <v>1204</v>
      </c>
      <c r="E114" s="1042">
        <f t="array" ref="E114">ROUND(0.6*(CHOOSE(MATCH(LOWER(TRIM(B23)),{"УРОВЕНЬ 100";"УРОВЕНЬ 95";"УРОВЕНЬ 90";"УРОВЕНЬ 80"},0),1674.8092,1561.468,1446.85,1077.44)*(1+(16*J75)/(2000+J75)+N84%)*(1-CHOOSE(MATCH(LOWER(TRIM(H114)),{"🔥ПИРО";"💧ГИДРО";"⚡️ЭЛЕКТРО";"❄️КРИО"},0),C80%,C81%,C82%,C83%)))*CHOOSE(MATCH(LOWER(TRIM(B114)),{"РАССЕИВАНИЕ 1";"РАССЕИВ. + С6"},0), 1,2),0)</f>
        <v>1204</v>
      </c>
      <c r="F114" s="1043">
        <f t="array" ref="F114">ROUND(0.6*(CHOOSE(MATCH(LOWER(TRIM(B23)),{"УРОВЕНЬ 100";"УРОВЕНЬ 95";"УРОВЕНЬ 90";"УРОВЕНЬ 80"},0),1674.8092,1561.468,1446.85,,1077.44)*(1+(16*J75)/(2000+J75)+N84%)*(1-CHOOSE(MATCH(LOWER(TRIM(H114)),{"🔥ПИРО";"💧ГИДРО";"⚡️ЭЛЕКТРО";"❄️КРИО"},0),C80%,C81%,C82%,C83%)))*CHOOSE(MATCH(LOWER(TRIM(B114)),{"РАССЕИВАНИЕ 1";"РАССЕИВ. + С6"},0), 1,1.3),0)</f>
        <v>1204</v>
      </c>
      <c r="G114" s="816" t="s">
        <v>14</v>
      </c>
      <c r="H114" s="1029" t="s">
        <v>2163</v>
      </c>
      <c r="I114" s="627" t="str">
        <f t="shared" si="17"/>
        <v>УНИК. УДАР</v>
      </c>
      <c r="J114" s="1045">
        <f t="array" ref="J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(1+L87%+CHOOSE(MATCH(LOWER(TRIM(N114)),{"КРИО";"ПИРО";"ЭЛЕКТРО";"ГИДРО";"АНЕМО";"ГЕО";"ДЕНДРО";"ФИЗУХА"}, 0), L76,L73,L75,L74,L78,L77,L79,L80)%+CHOOSE(MATCH(LOWER(TRIM(S114)),{"ЕШКА";"УЛЬТА";"ОБ. УДАРЫ";"ЗАР. УДАРЫ";"ПРЫЖКИ";"УНИК. УДАР"},0),J84%,J85%,J86%,J87%,J88%,0))
*(1-CHOOSE(MATCH(LOWER(TRIM(N114)),{"КРИО";"ПИРО";"ЭЛЕКТРО";"ГИДРО";"АНЕМО";"ГЕО";"ДЕНДРО";"ФИЗУХА"}, 0), C83,C80,C82,C81,E81,E82,E80,E83)%)*(D79),0)</f>
        <v>0</v>
      </c>
      <c r="K114" s="1020">
        <f t="array" ref="K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(1+L87%+CHOOSE(MATCH(LOWER(TRIM(N114)),{"КРИО";"ПИРО";"ЭЛЕКТРО";"ГИДРО";"АНЕМО";"ГЕО";"ДЕНДРО";"ФИЗУХА"}, 0), L76,L73,L75,L74,L78,L77,L79,L80)%+CHOOSE(MATCH(LOWER(TRIM(S114)),{"ЕШКА";"УЛЬТА";"ОБ. УДАРЫ";"ЗАР. УДАРЫ";"ПРЫЖКИ";"УНИК. УДАР"},0),J84%,J85%,J86%,J87%,J88%,0))
*(1+J76%)*(1-CHOOSE(MATCH(LOWER(TRIM(N114)),{"КРИО";"ПИРО";"ЭЛЕКТРО";"ГИДРО";"АНЕМО";"ГЕО";"ДЕНДРО";"ФИЗУХА"}, 0), C83,C80,C82,C81,E81,E82,E80,E83)%)*(D79),0)</f>
        <v>0</v>
      </c>
      <c r="L114" s="1020">
        <f t="array" ref="L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CHOOSE(MATCH(LOWER(TRIM(J35)),{"ПАР";"ОБ.ПАР";"ТАЯНИЕ";"ОБ.ТАЯНИЕ";"ОБОСТР.";"РАЗРАСТ.";"НЕТ"}, 0), 0,0,0,0,D102,D103,0))
*(1+L87%+CHOOSE(MATCH(LOWER(TRIM(N114)),{"КРИО";"ПИРО";"ЭЛЕКТРО";"ГИДРО";"АНЕМО";"ГЕО";"ДЕНДРО";"ФИЗУХА"}, 0), L76,L73,L75,L74,L78,L77,L79,L80)%+CHOOSE(MATCH(LOWER(TRIM(S114)),{"ЕШКА";"УЛЬТА";"ОБ. УДАРЫ";"ЗАР. УДАРЫ";"ПРЫЖКИ";"УНИК. УДАР"},0),J84%,J85%,J86%,J87%,J88%,0))
*(1+(J76%+CHOOSE(MATCH(LOWER(TRIM(S114)),{"ЕШКА";"УЛЬТА";"ОБ. УДАРЫ";"ЗАР. УДАРЫ";"ПРЫЖКИ";"УНИК. УДАР"},0),J91,J92,J89,J90,J93,0)%)*MIN((J77%+CHOOSE(MATCH(LOWER(TRIM(S114)),{"ЕШКА";"УЛЬТА";"ОБ. УДАРЫ";"ЗАР. УДАРЫ";"ПРЫЖКИ";"УНИК. УДАР"},0),L90,L91,L88,L89,L92,0)%),100%))*(1-CHOOSE(MATCH(LOWER(TRIM(N114)),{"КРИО";"ПИРО";"ЭЛЕКТРО";"ГИДРО";"АНЕМО";"ГЕО";"ДЕНДРО";"ФИЗУХА"}, 0), C83,C80,C82,C81,E81,E82,E80,E83)%)*(D79),0)</f>
        <v>0</v>
      </c>
      <c r="M114" s="629" t="s">
        <v>125</v>
      </c>
      <c r="N114" s="1021" t="s">
        <v>1905</v>
      </c>
      <c r="P114" s="627" t="str">
        <f t="shared" si="18"/>
        <v>УНИК. УДАР</v>
      </c>
      <c r="Q114" s="1022"/>
      <c r="R114" s="1023"/>
      <c r="S114" s="1024" t="s">
        <v>2157</v>
      </c>
      <c r="T114" s="1025" t="s">
        <v>2143</v>
      </c>
    </row>
    <row r="115" ht="19.5" customHeight="1">
      <c r="B115" s="1026" t="s">
        <v>2164</v>
      </c>
      <c r="C115" s="544"/>
      <c r="D115" s="1036">
        <f t="array" ref="D115">ROUND(0.6*(CHOOSE(MATCH(LOWER(TRIM(B23)),{"УРОВЕНЬ 100";"УРОВЕНЬ 95";"УРОВЕНЬ 90";"УРОВЕНЬ 80"},0),1674.8092,1561.468,1446.85,1077.44)*(1+(16*J75)/(2000+J75)+N84%)*(1-CHOOSE(MATCH(LOWER(TRIM(H115)),{"🔥ПИРО";"💧ГИДРО";"⚡️ЭЛЕКТРО";"❄️КРИО"},0),C80%,C81%,C82%,C83%))),0)</f>
        <v>1204</v>
      </c>
      <c r="E115" s="628">
        <f t="array" ref="E115">ROUND(0.6*(CHOOSE(MATCH(LOWER(TRIM(B23)),{"УРОВЕНЬ 100";"УРОВЕНЬ 95";"УРОВЕНЬ 90";"УРОВЕНЬ 80"},0),1674.8092,1561.468,1446.85,1077.44)*(1+(16*J75)/(2000+J75)+N84%)*(1-CHOOSE(MATCH(LOWER(TRIM(H115)),{"🔥ПИРО";"💧ГИДРО";"⚡️ЭЛЕКТРО";"❄️КРИО"},0),C80%,C81%,C82%,C83%)))*CHOOSE(MATCH(LOWER(TRIM(B115)),{"РАССЕИВАНИЕ 2";"РАССЕИВ. + С6"},0),1,2),0)</f>
        <v>1204</v>
      </c>
      <c r="F115" s="1044">
        <f t="array" ref="F115">ROUND(0.6*(CHOOSE(MATCH(LOWER(TRIM(B23)),{"УРОВЕНЬ 100";"УРОВЕНЬ 95";"УРОВЕНЬ 90";"УРОВЕНЬ 80"},0),1674.8092,1561.468,1446.85,1077.44)*(1+(16*J75)/(2000+J75)+N84%)*(1-CHOOSE(MATCH(LOWER(TRIM(H115)),{"🔥ПИРО";"💧ГИДРО";"⚡️ЭЛЕКТРО";"❄️КРИО"},0),C80%,C81%,C82%,C83%)))*CHOOSE(MATCH(LOWER(TRIM(B115)),{"РАССЕИВАНИЕ 2";"РАССЕИВ. + С6"},0),1,1.3),0)</f>
        <v>1204</v>
      </c>
      <c r="G115" s="629" t="s">
        <v>14</v>
      </c>
      <c r="H115" s="1029" t="s">
        <v>2165</v>
      </c>
      <c r="I115" s="627" t="str">
        <f t="shared" si="17"/>
        <v>УНИК. УДАР</v>
      </c>
      <c r="J115" s="1030">
        <f t="array" ref="J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*(1-CHOOSE(MATCH(LOWER(TRIM(N115)),{"КРИО";"ПИРО";"ЭЛЕКТРО";"ГИДРО";"АНЕМО";"ГЕО";"ДЕНДРО";"ФИЗУХА"}, 0), C83,C80,C82,C81,E81,E82,E80,E83)%)*(D79),0)</f>
        <v>0</v>
      </c>
      <c r="K115" s="1031">
        <f t="array" ref="K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*(1+J76%)*(1-CHOOSE(MATCH(LOWER(TRIM(N115)),{"КРИО";"ПИРО";"ЭЛЕКТРО";"ГИДРО";"АНЕМО";"ГЕО";"ДЕНДРО";"ФИЗУХА"}, 0), C83,C80,C82,C81,E81,E82,E80,E83)%)*(D79),0)</f>
        <v>0</v>
      </c>
      <c r="L115" s="1031">
        <f t="array" ref="L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CHOOSE(MATCH(LOWER(TRIM(J36)),{"ПАР";"ОБ.ПАР";"ТАЯНИЕ";"ОБ.ТАЯНИЕ";"ОБОСТР.";"РАЗРАСТ.";"НЕТ"}, 0), 0,0,0,0,D102,D103,0))
*(1+L87%+CHOOSE(MATCH(LOWER(TRIM(N115)),{"КРИО";"ПИРО";"ЭЛЕКТРО";"ГИДРО";"АНЕМО";"ГЕО";"ДЕНДРО";"ФИЗУХА"}, 0), L76,L73,L75,L74,L78,L77,L79,L80)%+CHOOSE(MATCH(LOWER(TRIM(S115)),{"ЕШКА";"УЛЬТА";"ОБ. УДАРЫ";"ЗАР. УДАРЫ";"ПРЫЖКИ";"УНИК. УДАР"},0),J84%,J85%,J86%,J87%,J88%,0))
*(1+(J76%+CHOOSE(MATCH(LOWER(TRIM(S115)),{"ЕШКА";"УЛЬТА";"ОБ. УДАРЫ";"ЗАР. УДАРЫ";"ПРЫЖКИ";"УНИК. УДАР"},0),J91,J92,J89,J90,J93,0)%)*MIN((J77%+CHOOSE(MATCH(LOWER(TRIM(S115)),{"ЕШКА";"УЛЬТА";"ОБ. УДАРЫ";"ЗАР. УДАРЫ";"ПРЫЖКИ";"УНИК. УДАР"},0),L90,L91,L88,L89,L92,0)%),100%))*(1-CHOOSE(MATCH(LOWER(TRIM(N115)),{"КРИО";"ПИРО";"ЭЛЕКТРО";"ГИДРО";"АНЕМО";"ГЕО";"ДЕНДРО";"ФИЗУХА"}, 0), C83,C80,C82,C81,E81,E82,E80,E83)%)*(D79),0)</f>
        <v>0</v>
      </c>
      <c r="M115" s="629" t="s">
        <v>125</v>
      </c>
      <c r="N115" s="1021" t="s">
        <v>1905</v>
      </c>
      <c r="P115" s="627" t="str">
        <f t="shared" si="18"/>
        <v>УНИК. УДАР</v>
      </c>
      <c r="Q115" s="1032"/>
      <c r="R115" s="1033"/>
      <c r="S115" s="1024" t="s">
        <v>2157</v>
      </c>
      <c r="T115" s="1025" t="s">
        <v>2143</v>
      </c>
    </row>
    <row r="116" ht="19.5" customHeight="1">
      <c r="B116" s="1014" t="s">
        <v>2046</v>
      </c>
      <c r="C116" s="544"/>
      <c r="D116" s="1035">
        <f t="array" ref="D116">ROUND(3*(CHOOSE(MATCH(LOWER(TRIM(B23)),{"УРОВЕНЬ 100";"УРОВЕНЬ 95";"УРОВЕНЬ 90";"УРОВЕНЬ 80"},0),1674.8092,1561.468,1446.85,1077.44)*(1+(16*J75)/(2000+J75)+N85%)*(1-E83%)),0)</f>
        <v>6020</v>
      </c>
      <c r="E116" s="817" t="s">
        <v>14</v>
      </c>
      <c r="F116" s="1016" t="s">
        <v>14</v>
      </c>
      <c r="G116" s="816" t="s">
        <v>14</v>
      </c>
      <c r="H116" s="1018" t="s">
        <v>2166</v>
      </c>
      <c r="I116" s="627" t="str">
        <f t="shared" si="17"/>
        <v>УНИК. УДАР</v>
      </c>
      <c r="J116" s="1034">
        <f t="array" ref="J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*(1-CHOOSE(MATCH(LOWER(TRIM(N116)),{"КРИО";"ПИРО";"ЭЛЕКТРО";"ГИДРО";"АНЕМО";"ГЕО";"ДЕНДРО";"ФИЗУХА"}, 0), C83,C80,C82,C81,E81,E82,E80,E83)%)*(D79),0)</f>
        <v>0</v>
      </c>
      <c r="K116" s="1020">
        <f t="array" ref="K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*(1+J76%)*(1-CHOOSE(MATCH(LOWER(TRIM(N116)),{"КРИО";"ПИРО";"ЭЛЕКТРО";"ГИДРО";"АНЕМО";"ГЕО";"ДЕНДРО";"ФИЗУХА"}, 0), C83,C80,C82,C81,E81,E82,E80,E83)%)*(D79),0)</f>
        <v>0</v>
      </c>
      <c r="L116" s="1020">
        <f t="array" ref="L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CHOOSE(MATCH(LOWER(TRIM(J37)),{"ПАР";"ОБ.ПАР";"ТАЯНИЕ";"ОБ.ТАЯНИЕ";"ОБОСТР.";"РАЗРАСТ.";"НЕТ"}, 0), 0,0,0,0,D102,D103,0))
*(1+L87%+CHOOSE(MATCH(LOWER(TRIM(N116)),{"КРИО";"ПИРО";"ЭЛЕКТРО";"ГИДРО";"АНЕМО";"ГЕО";"ДЕНДРО";"ФИЗУХА"}, 0), L76,L73,L75,L74,L78,L77,L79,L80)%+CHOOSE(MATCH(LOWER(TRIM(S116)),{"ЕШКА";"УЛЬТА";"ОБ. УДАРЫ";"ЗАР. УДАРЫ";"ПРЫЖКИ";"УНИК. УДАР"},0),J84%,J85%,J86%,J87%,J88%,0))
*(1+(J76%+CHOOSE(MATCH(LOWER(TRIM(S116)),{"ЕШКА";"УЛЬТА";"ОБ. УДАРЫ";"ЗАР. УДАРЫ";"ПРЫЖКИ";"УНИК. УДАР"},0),J91,J92,J89,J90,J93,0)%)*MIN((J77%+CHOOSE(MATCH(LOWER(TRIM(S116)),{"ЕШКА";"УЛЬТА";"ОБ. УДАРЫ";"ЗАР. УДАРЫ";"ПРЫЖКИ";"УНИК. УДАР"},0),L90,L91,L88,L89,L92,0)%),100%))*(1-CHOOSE(MATCH(LOWER(TRIM(N116)),{"КРИО";"ПИРО";"ЭЛЕКТРО";"ГИДРО";"АНЕМО";"ГЕО";"ДЕНДРО";"ФИЗУХА"}, 0), C83,C80,C82,C81,E81,E82,E80,E83)%)*(D79),0)</f>
        <v>0</v>
      </c>
      <c r="M116" s="629" t="s">
        <v>125</v>
      </c>
      <c r="N116" s="1021" t="s">
        <v>1905</v>
      </c>
      <c r="P116" s="627" t="str">
        <f t="shared" si="18"/>
        <v>УНИК. УДАР</v>
      </c>
      <c r="Q116" s="1022"/>
      <c r="R116" s="1023"/>
      <c r="S116" s="1024" t="s">
        <v>2157</v>
      </c>
      <c r="T116" s="1025" t="s">
        <v>2143</v>
      </c>
    </row>
    <row r="117" ht="19.5" customHeight="1">
      <c r="B117" s="1026" t="s">
        <v>2167</v>
      </c>
      <c r="C117" s="544"/>
      <c r="D117" s="1036">
        <f t="array" ref="D117">ROUND(1.5*(CHOOSE(MATCH(LOWER(TRIM(B23)),{"УРОВЕНЬ 100";"УРОВЕНЬ 95";"УРОВЕНЬ 90";"УРОВЕНЬ 80"},0),1674.8092,1561.468,1446.85,1077.44)*(1+(16*J75)/(2000+J75)+N86%)*(1-C83%)),0)</f>
        <v>3010</v>
      </c>
      <c r="E117" s="630" t="s">
        <v>14</v>
      </c>
      <c r="F117" s="573" t="s">
        <v>14</v>
      </c>
      <c r="G117" s="629" t="s">
        <v>14</v>
      </c>
      <c r="H117" s="1029" t="s">
        <v>567</v>
      </c>
      <c r="I117" s="627" t="str">
        <f t="shared" si="17"/>
        <v>УНИК. УДАР</v>
      </c>
      <c r="J117" s="1030">
        <f t="array" ref="J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*(1-CHOOSE(MATCH(LOWER(TRIM(N117)),{"КРИО";"ПИРО";"ЭЛЕКТРО";"ГИДРО";"АНЕМО";"ГЕО";"ДЕНДРО";"ФИЗУХА"}, 0), C83,C80,C82,C81,E81,E82,E80,E83)%)*(D79),0)</f>
        <v>0</v>
      </c>
      <c r="K117" s="1031">
        <f t="array" ref="K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*(1+J76%)*(1-CHOOSE(MATCH(LOWER(TRIM(N117)),{"КРИО";"ПИРО";"ЭЛЕКТРО";"ГИДРО";"АНЕМО";"ГЕО";"ДЕНДРО";"ФИЗУХА"}, 0), C83,C80,C82,C81,E81,E82,E80,E83)%)*(D79),0)</f>
        <v>0</v>
      </c>
      <c r="L117" s="1031">
        <f t="array" ref="L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CHOOSE(MATCH(LOWER(TRIM(J38)),{"ПАР";"ОБ.ПАР";"ТАЯНИЕ";"ОБ.ТАЯНИЕ";"ОБОСТР.";"РАЗРАСТ.";"НЕТ"}, 0), 0,0,0,0,D102,D103,0))
*(1+L87%+CHOOSE(MATCH(LOWER(TRIM(N117)),{"КРИО";"ПИРО";"ЭЛЕКТРО";"ГИДРО";"АНЕМО";"ГЕО";"ДЕНДРО";"ФИЗУХА"}, 0), L76,L73,L75,L74,L78,L77,L79,L80)%+CHOOSE(MATCH(LOWER(TRIM(S117)),{"ЕШКА";"УЛЬТА";"ОБ. УДАРЫ";"ЗАР. УДАРЫ";"ПРЫЖКИ";"УНИК. УДАР"},0),J84%,J85%,J86%,J87%,J88%,0))
*(1+(J76%+CHOOSE(MATCH(LOWER(TRIM(S117)),{"ЕШКА";"УЛЬТА";"ОБ. УДАРЫ";"ЗАР. УДАРЫ";"ПРЫЖКИ";"УНИК. УДАР"},0),J91,J92,J89,J90,J93,0)%)*MIN((J77%+CHOOSE(MATCH(LOWER(TRIM(S117)),{"ЕШКА";"УЛЬТА";"ОБ. УДАРЫ";"ЗАР. УДАРЫ";"ПРЫЖКИ";"УНИК. УДАР"},0),L90,L91,L88,L89,L92,0)%),100%))*(1-CHOOSE(MATCH(LOWER(TRIM(N117)),{"КРИО";"ПИРО";"ЭЛЕКТРО";"ГИДРО";"АНЕМО";"ГЕО";"ДЕНДРО";"ФИЗУХА"}, 0), C83,C80,C82,C81,E81,E82,E80,E83)%)*(D79),0)</f>
        <v>0</v>
      </c>
      <c r="M117" s="629" t="s">
        <v>125</v>
      </c>
      <c r="N117" s="1021" t="s">
        <v>1905</v>
      </c>
      <c r="P117" s="627" t="str">
        <f t="shared" si="18"/>
        <v>УНИК. УДАР</v>
      </c>
      <c r="Q117" s="1032"/>
      <c r="R117" s="1033"/>
      <c r="S117" s="1024" t="s">
        <v>2157</v>
      </c>
      <c r="T117" s="1025" t="s">
        <v>2143</v>
      </c>
    </row>
    <row r="118" ht="19.5" customHeight="1">
      <c r="B118" s="1046" t="s">
        <v>2168</v>
      </c>
      <c r="C118" s="1047"/>
      <c r="D118" s="1048">
        <f t="array" ref="D118">ROUND(((CHOOSE(MATCH(LOWER(TRIM(B23)),{"УРОВЕНЬ 100";"УРОВЕНЬ 95";"УРОВЕНЬ 90";"УРОВЕНЬ 80"},0),2143.46,1997.23,1851,1597)+(CHOOSE(MATCH(LOWER(TRIM(B23)),{"УРОВЕНЬ 100";"УРОВЕНЬ 95";"УРОВЕНЬ 90";"УРОВЕНЬ 80"},0),2143.46,1997.23,1851,1597)*(4.44*(J75/(1400+J75)))))*(1+J83%)),0)</f>
        <v>2242</v>
      </c>
      <c r="E118" s="1049" t="s">
        <v>14</v>
      </c>
      <c r="F118" s="1050" t="s">
        <v>14</v>
      </c>
      <c r="G118" s="1051" t="s">
        <v>14</v>
      </c>
      <c r="H118" s="1052" t="s">
        <v>2169</v>
      </c>
      <c r="I118" s="627" t="str">
        <f t="shared" si="17"/>
        <v>УНИК. УДАР</v>
      </c>
      <c r="J118" s="1034">
        <f t="array" ref="J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*(1-CHOOSE(MATCH(LOWER(TRIM(N118)),{"КРИО";"ПИРО";"ЭЛЕКТРО";"ГИДРО";"АНЕМО";"ГЕО";"ДЕНДРО";"ФИЗУХА"}, 0), C83,C80,C82,C81,E81,E82,E80,E83)%)*(D79),0)</f>
        <v>0</v>
      </c>
      <c r="K118" s="1020">
        <f t="array" ref="K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*(1+J76%)*(1-CHOOSE(MATCH(LOWER(TRIM(N118)),{"КРИО";"ПИРО";"ЭЛЕКТРО";"ГИДРО";"АНЕМО";"ГЕО";"ДЕНДРО";"ФИЗУХА"}, 0), C83,C80,C82,C81,E81,E82,E80,E83)%)*(D79),0)</f>
        <v>0</v>
      </c>
      <c r="L118" s="1020">
        <f t="array" ref="L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+CHOOSE(MATCH(LOWER(TRIM(J39)),{"ПАР";"ОБ.ПАР";"ТАЯНИЕ";"ОБ.ТАЯНИЕ";"ОБОСТР.";"РАЗРАСТ.";"НЕТ"}, 0), 0,0,0,0,D102,D103,0))
*(1+L87%+CHOOSE(MATCH(LOWER(TRIM(N118)),{"КРИО";"ПИРО";"ЭЛЕКТРО";"ГИДРО";"АНЕМО";"ГЕО";"ДЕНДРО";"ФИЗУХА"},0), L76,L73,L75,L74,L78,L77,L79,L80)%+CHOOSE(MATCH(LOWER(TRIM(S118)),{"ЕШКА";"УЛЬТА";"ОБ. УДАРЫ";"ЗАР. УДАРЫ";"ПРЫЖКИ";"УНИК. УДАР"},0), J84%,J85%,J86%,J87%,J88%,0))
*(1+(J76%+CHOOSE(MATCH(LOWER(TRIM(S118)),{"ЕШКА";"УЛЬТА";"ОБ. УДАРЫ";"ЗАР. УДАРЫ";"ПРЫЖКИ";"УНИК. УДАР"},0),J91,J92,J89,J90,J93,0)%)*MIN((J77%+CHOOSE(MATCH(LOWER(TRIM(S118)),{"ЕШКА";"УЛЬТА";"ОБ. УДАРЫ";"ЗАР. УДАРЫ";"ПРЫЖКИ";"УНИК. УДАР"},0),L90,L91,L88,L89,L92,0)%),100%))*(1-CHOOSE(MATCH(LOWER(TRIM(N118)),{"КРИО";"ПИРО";"ЭЛЕКТРО";"ГИДРО";"АНЕМО";"ГЕО";"ДЕНДРО";"ФИЗУХА"},0), C83,C80,C82,C81,E81,E82,E80,E83)%)*(D79),0)</f>
        <v>0</v>
      </c>
      <c r="M118" s="629" t="s">
        <v>125</v>
      </c>
      <c r="N118" s="1021" t="s">
        <v>1905</v>
      </c>
      <c r="P118" s="627" t="str">
        <f t="shared" si="18"/>
        <v>УНИК. УДАР</v>
      </c>
      <c r="Q118" s="1022"/>
      <c r="R118" s="1023"/>
      <c r="S118" s="1024" t="s">
        <v>2157</v>
      </c>
      <c r="T118" s="1025" t="s">
        <v>2143</v>
      </c>
    </row>
    <row r="119" ht="19.5" customHeight="1">
      <c r="B119" s="473"/>
      <c r="I119" s="627" t="str">
        <f t="shared" si="17"/>
        <v>УНИК. УДАР</v>
      </c>
      <c r="J119" s="1030">
        <f t="array" ref="J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*(1-CHOOSE(MATCH(LOWER(TRIM(N119)),{"КРИО";"ПИРО";"ЭЛЕКТРО";"ГИДРО";"АНЕМО";"ГЕО";"ДЕНДРО";"ФИЗУХА"}, 0), C83,C80,C82,C81,E81,E82,E80,E83)%)*(D79),0)</f>
        <v>0</v>
      </c>
      <c r="K119" s="1031">
        <f t="array" ref="K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*(1+J76%)*(1-CHOOSE(MATCH(LOWER(TRIM(N119)),{"КРИО";"ПИРО";"ЭЛЕКТРО";"ГИДРО";"АНЕМО";"ГЕО";"ДЕНДРО";"ФИЗУХА"}, 0), C83,C80,C82,C81,E81,E82,E80,E83)%)*(D79),0)</f>
        <v>0</v>
      </c>
      <c r="L119" s="1031">
        <f t="array" ref="L119">ROUND((CHOOSE(MATCH(LOWER(TRIM(M119)),{"СА";"СА+ХП";"СА+МС";"СА+ЗЩ";"ХП";"ЗЩ"},0), J74,J74,J74,J74,J78,J79)*Q119%
+CHOOSE(MATCH(LOWER(TRIM(M119)),{"СА";"СА+ХП";"СА+МС";"СА+ЗЩ";"ХП";"ЗЩ"},0), 0,J78,J75,J79,0,0)*R119%+IF(L40=TRUE,L86+CHOOSE(MATCH(LOWER(TRIM(S119)),{"ЕШКА";"УЛЬТА";"ОБ. УДАРЫ";"ЗАР. УДАРЫ";"ПРЫЖКИ";"УНИК. УДАР"},0),L84,L85,L81,L82,L83,0),0)
+CHOOSE(MATCH(LOWER(TRIM(J40)),{"ПАР";"ОБ.ПАР";"ТАЯНИЕ";"ОБ.ТАЯНИЕ";"ОБОСТР.";"РАЗРАСТ.";"НЕТ"},0), 0,0,0,0,D102,D103,0))
*(1+L87%+CHOOSE(MATCH(LOWER(TRIM(N119)),{"КРИО";"ПИРО";"ЭЛЕКТРО";"ГИДРО";"АНЕМО";"ГЕО";"ДЕНДРО";"ФИЗУХА"},0), L76,L73,L75,L74,L78,L77,L79,L80)%+CHOOSE(MATCH(LOWER(TRIM(S119)),{"ЕШКА";"УЛЬТА";"ОБ. УДАРЫ";"ЗАР. УДАРЫ";"ПРЫЖКИ";"УНИК. УДАР"},0), J84%,J85%,J86%,J87%,J88%,0))
*(1+(J76%+CHOOSE(MATCH(LOWER(TRIM(S119)),{"ЕШКА";"УЛЬТА";"ОБ. УДАРЫ";"ЗАР. УДАРЫ";"ПРЫЖКИ";"УНИК. УДАР"},0),J91,J92,J89,J90,J93,0)%)*MIN((J77%+CHOOSE(MATCH(LOWER(TRIM(S119)),{"ЕШКА";"УЛЬТА";"ОБ. УДАРЫ";"ЗАР. УДАРЫ";"ПРЫЖКИ";"УНИК. УДАР"},0),L90,L91,L88,L89,L92,0)%),100%))*(1-CHOOSE(MATCH(LOWER(TRIM(N119)),{"КРИО";"ПИРО";"ЭЛЕКТРО";"ГИДРО";"АНЕМО";"ГЕО";"ДЕНДРО";"ФИЗУХА"},0), C83,C80,C82,C81,E81,E82,E80,E83)%)*(D79),0)</f>
        <v>0</v>
      </c>
      <c r="M119" s="629" t="s">
        <v>125</v>
      </c>
      <c r="N119" s="1021" t="s">
        <v>1905</v>
      </c>
      <c r="P119" s="627" t="str">
        <f t="shared" si="18"/>
        <v>УНИК. УДАР</v>
      </c>
      <c r="Q119" s="1032"/>
      <c r="R119" s="1033"/>
      <c r="S119" s="1024" t="s">
        <v>2157</v>
      </c>
      <c r="T119" s="1025" t="s">
        <v>2143</v>
      </c>
    </row>
    <row r="120" ht="19.5" customHeight="1">
      <c r="I120" s="627" t="str">
        <f t="shared" si="17"/>
        <v>УНИК. УДАР</v>
      </c>
      <c r="J120" s="1034">
        <f t="array" ref="J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*(1-CHOOSE(MATCH(LOWER(TRIM(N120)),{"КРИО";"ПИРО";"ЭЛЕКТРО";"ГИДРО";"АНЕМО";"ГЕО";"ДЕНДРО";"ФИЗУХА"}, 0), C83,C80,C82,C81,E81,E82,E80,E83)%)*(D79),0)</f>
        <v>0</v>
      </c>
      <c r="K120" s="1020">
        <f t="array" ref="K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*(1+J76%)*(1-CHOOSE(MATCH(LOWER(TRIM(N120)),{"КРИО";"ПИРО";"ЭЛЕКТРО";"ГИДРО";"АНЕМО";"ГЕО";"ДЕНДРО";"ФИЗУХА"}, 0), C83,C80,C82,C81,E81,E82,E80,E83)%)*(D79),0)</f>
        <v>0</v>
      </c>
      <c r="L120" s="1020">
        <f t="array" ref="L120">ROUND((CHOOSE(MATCH(LOWER(TRIM(M120)),{"СА";"СА+ХП";"СА+МС";"СА+ЗЩ";"ХП";"ЗЩ"},0), J74,J74,J74,J74,J78,J79)*Q120%
+CHOOSE(MATCH(LOWER(TRIM(M120)),{"СА";"СА+ХП";"СА+МС";"СА+ЗЩ";"ХП";"ЗЩ"},0), 0,J78,J75,J79,0,0)*R120%+IF(L41=TRUE,L86+CHOOSE(MATCH(LOWER(TRIM(S120)),{"ЕШКА";"УЛЬТА";"ОБ. УДАРЫ";"ЗАР. УДАРЫ";"ПРЫЖКИ";"УНИК. УДАР"},0),L84,L85,L81,L82,L83,0),0)
+CHOOSE(MATCH(LOWER(TRIM(J41)),{"ПАР";"ОБ.ПАР";"ТАЯНИЕ";"ОБ.ТАЯНИЕ";"ОБОСТР.";"РАЗРАСТ.";"НЕТ"},0), 0,0,0,0,D102,D103,0))
*(1+L87%+CHOOSE(MATCH(LOWER(TRIM(N120)),{"КРИО";"ПИРО";"ЭЛЕКТРО";"ГИДРО";"АНЕМО";"ГЕО";"ДЕНДРО";"ФИЗУХА"},0), L76,L73,L75,L74,L78,L77,L79,L80)%+CHOOSE(MATCH(LOWER(TRIM(S120)),{"ЕШКА";"УЛЬТА";"ОБ. УДАРЫ";"ЗАР. УДАРЫ";"ПРЫЖКИ";"УНИК. УДАР"},0), J84%,J85%,J86%,J87%,J88%,0))
*(1+(J76%+CHOOSE(MATCH(LOWER(TRIM(S120)),{"ЕШКА";"УЛЬТА";"ОБ. УДАРЫ";"ЗАР. УДАРЫ";"ПРЫЖКИ";"УНИК. УДАР"},0),J91,J92,J89,J90,J93,0)%)*MIN((J77%+CHOOSE(MATCH(LOWER(TRIM(S120)),{"ЕШКА";"УЛЬТА";"ОБ. УДАРЫ";"ЗАР. УДАРЫ";"ПРЫЖКИ";"УНИК. УДАР"},0),L90,L91,L88,L89,L92,0)%),100%))*(1-CHOOSE(MATCH(LOWER(TRIM(N120)),{"КРИО";"ПИРО";"ЭЛЕКТРО";"ГИДРО";"АНЕМО";"ГЕО";"ДЕНДРО";"ФИЗУХА"},0), C83,C80,C82,C81,E81,E82,E80,E83)%)*(D79),0)</f>
        <v>0</v>
      </c>
      <c r="M120" s="629" t="s">
        <v>125</v>
      </c>
      <c r="N120" s="1021" t="s">
        <v>1905</v>
      </c>
      <c r="P120" s="627" t="str">
        <f t="shared" si="18"/>
        <v>УНИК. УДАР</v>
      </c>
      <c r="Q120" s="1022"/>
      <c r="R120" s="1023"/>
      <c r="S120" s="1024" t="s">
        <v>2157</v>
      </c>
      <c r="T120" s="1025" t="s">
        <v>2143</v>
      </c>
    </row>
    <row r="121" ht="19.5" customHeight="1">
      <c r="I121" s="627" t="str">
        <f t="shared" si="17"/>
        <v>УНИК. УДАР</v>
      </c>
      <c r="J121" s="1030">
        <f t="array" ref="J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*(1-CHOOSE(MATCH(LOWER(TRIM(N121)),{"КРИО";"ПИРО";"ЭЛЕКТРО";"ГИДРО";"АНЕМО";"ГЕО";"ДЕНДРО";"ФИЗУХА"}, 0), C83,C80,C82,C81,E81,E82,E80,E83)%)*(D79),0)</f>
        <v>0</v>
      </c>
      <c r="K121" s="1031">
        <f t="array" ref="K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*(1+J76%)*(1-CHOOSE(MATCH(LOWER(TRIM(N121)),{"КРИО";"ПИРО";"ЭЛЕКТРО";"ГИДРО";"АНЕМО";"ГЕО";"ДЕНДРО";"ФИЗУХА"}, 0), C83,C80,C82,C81,E81,E82,E80,E83)%)*(D79),0)</f>
        <v>0</v>
      </c>
      <c r="L121" s="1031">
        <f t="array" ref="L121">ROUND((CHOOSE(MATCH(LOWER(TRIM(M121)),{"СА";"СА+ХП";"СА+МС";"СА+ЗЩ";"ХП";"ЗЩ"},0), J74,J74,J74,J74,J78,J79)*Q121%
+CHOOSE(MATCH(LOWER(TRIM(M121)),{"СА";"СА+ХП";"СА+МС";"СА+ЗЩ";"ХП";"ЗЩ"},0), 0,J78,J75,J79,0,0)*R121%+IF(L42=TRUE,L86+CHOOSE(MATCH(LOWER(TRIM(S121)),{"ЕШКА";"УЛЬТА";"ОБ. УДАРЫ";"ЗАР. УДАРЫ";"ПРЫЖКИ";"УНИК. УДАР"},0),L84,L85,L81,L82,L83,0),0)
+CHOOSE(MATCH(LOWER(TRIM(J42)),{"ПАР";"ОБ.ПАР";"ТАЯНИЕ";"ОБ.ТАЯНИЕ";"ОБОСТР.";"РАЗРАСТ.";"НЕТ"},0), 0,0,0,0,D102,D103,0))
*(1+L87%+CHOOSE(MATCH(LOWER(TRIM(N121)),{"КРИО";"ПИРО";"ЭЛЕКТРО";"ГИДРО";"АНЕМО";"ГЕО";"ДЕНДРО";"ФИЗУХА"},0), L76,L73,L75,L74,L78,L77,L79,L80)%+CHOOSE(MATCH(LOWER(TRIM(S121)),{"ЕШКА";"УЛЬТА";"ОБ. УДАРЫ";"ЗАР. УДАРЫ";"ПРЫЖКИ";"УНИК. УДАР"},0), J84%,J85%,J86%,J87%,J88%,0))
*(1+(J76%+CHOOSE(MATCH(LOWER(TRIM(S121)),{"ЕШКА";"УЛЬТА";"ОБ. УДАРЫ";"ЗАР. УДАРЫ";"ПРЫЖКИ";"УНИК. УДАР"},0),J91,J92,J89,J90,J93,0)%)*MIN((J77%+CHOOSE(MATCH(LOWER(TRIM(S121)),{"ЕШКА";"УЛЬТА";"ОБ. УДАРЫ";"ЗАР. УДАРЫ";"ПРЫЖКИ";"УНИК. УДАР"},0),L90,L91,L88,L89,L92,0)%),100%))*(1-CHOOSE(MATCH(LOWER(TRIM(N121)),{"КРИО";"ПИРО";"ЭЛЕКТРО";"ГИДРО";"АНЕМО";"ГЕО";"ДЕНДРО";"ФИЗУХА"},0), C83,C80,C82,C81,E81,E82,E80,E83)%)*(D79),0)</f>
        <v>0</v>
      </c>
      <c r="M121" s="629" t="s">
        <v>125</v>
      </c>
      <c r="N121" s="1021" t="s">
        <v>1905</v>
      </c>
      <c r="P121" s="627" t="str">
        <f t="shared" si="18"/>
        <v>УНИК. УДАР</v>
      </c>
      <c r="Q121" s="1032"/>
      <c r="R121" s="1033"/>
      <c r="S121" s="1024" t="s">
        <v>2157</v>
      </c>
      <c r="T121" s="1025" t="s">
        <v>2143</v>
      </c>
    </row>
    <row r="122" ht="19.5" customHeight="1">
      <c r="I122" s="627" t="str">
        <f t="shared" si="17"/>
        <v>УНИК. УДАР</v>
      </c>
      <c r="J122" s="1020">
        <f t="array" ref="J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*(1-CHOOSE(MATCH(LOWER(TRIM(N122)),{"КРИО";"ПИРО";"ЭЛЕКТРО";"ГИДРО";"АНЕМО";"ГЕО";"ДЕНДРО";"ФИЗУХА"}, 0), C83,C80,C82,C81,E81,E82,E80,E83)%)*(D79),0)</f>
        <v>0</v>
      </c>
      <c r="K122" s="1020">
        <f t="array" ref="K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*(1+J76%)*(1-CHOOSE(MATCH(LOWER(TRIM(N122)),{"КРИО";"ПИРО";"ЭЛЕКТРО";"ГИДРО";"АНЕМО";"ГЕО";"ДЕНДРО";"ФИЗУХА"}, 0), C83,C80,C82,C81,E81,E82,E80,E83)%)*(D79),0)</f>
        <v>0</v>
      </c>
      <c r="L122" s="1020">
        <f t="array" ref="L122">ROUND((CHOOSE(MATCH(LOWER(TRIM(M122)),{"СА";"СА+ХП";"СА+МС";"СА+ЗЩ";"ХП";"ЗЩ"},0), J74,J74,J74,J74,J78,J79)*Q122%
+CHOOSE(MATCH(LOWER(TRIM(M122)),{"СА";"СА+ХП";"СА+МС";"СА+ЗЩ";"ХП";"ЗЩ"},0), 0,J78,J75,J79,0,0)*R122%+IF(L43=TRUE,L86+CHOOSE(MATCH(LOWER(TRIM(S122)),{"ЕШКА";"УЛЬТА";"ОБ. УДАРЫ";"ЗАР. УДАРЫ";"ПРЫЖКИ";"УНИК. УДАР"},0),L84,L85,L81,L82,L83,0),0)
+CHOOSE(MATCH(LOWER(TRIM(J43)),{"ПАР";"ОБ.ПАР";"ТАЯНИЕ";"ОБ.ТАЯНИЕ";"ОБОСТР.";"РАЗРАСТ.";"НЕТ"},0), 0,0,0,0,D102,D103,0))
*(1+L87%+CHOOSE(MATCH(LOWER(TRIM(N122)),{"КРИО";"ПИРО";"ЭЛЕКТРО";"ГИДРО";"АНЕМО";"ГЕО";"ДЕНДРО";"ФИЗУХА"},0), L76,L73,L75,L74,L78,L77,L79,L80)%+CHOOSE(MATCH(LOWER(TRIM(S122)),{"ЕШКА";"УЛЬТА";"ОБ. УДАРЫ";"ЗАР. УДАРЫ";"ПРЫЖКИ";"УНИК. УДАР"},0), J84%,J85%,J86%,J87%,J88%,0))
*(1+(J76%+CHOOSE(MATCH(LOWER(TRIM(S122)),{"ЕШКА";"УЛЬТА";"ОБ. УДАРЫ";"ЗАР. УДАРЫ";"ПРЫЖКИ";"УНИК. УДАР"},0),J91,J92,J89,J90,J93,0)%)*MIN((J77%+CHOOSE(MATCH(LOWER(TRIM(S122)),{"ЕШКА";"УЛЬТА";"ОБ. УДАРЫ";"ЗАР. УДАРЫ";"ПРЫЖКИ";"УНИК. УДАР"},0),L90,L91,L88,L89,L92,0)%),100%))*(1-CHOOSE(MATCH(LOWER(TRIM(N122)),{"КРИО";"ПИРО";"ЭЛЕКТРО";"ГИДРО";"АНЕМО";"ГЕО";"ДЕНДРО";"ФИЗУХА"},0), C83,C80,C82,C81,E81,E82,E80,E83)%)*(D79),0)</f>
        <v>0</v>
      </c>
      <c r="M122" s="629" t="s">
        <v>125</v>
      </c>
      <c r="N122" s="1021" t="s">
        <v>1905</v>
      </c>
      <c r="P122" s="627" t="str">
        <f t="shared" si="18"/>
        <v>УНИК. УДАР</v>
      </c>
      <c r="Q122" s="1022"/>
      <c r="R122" s="1023"/>
      <c r="S122" s="1024" t="s">
        <v>2157</v>
      </c>
      <c r="T122" s="1025" t="s">
        <v>2143</v>
      </c>
    </row>
    <row r="123" ht="19.5" customHeight="1">
      <c r="I123" s="627" t="str">
        <f t="shared" si="17"/>
        <v>УНИК. УДАР</v>
      </c>
      <c r="J123" s="1031">
        <f t="array" ref="J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*(1-CHOOSE(MATCH(LOWER(TRIM(N123)),{"КРИО";"ПИРО";"ЭЛЕКТРО";"ГИДРО";"АНЕМО";"ГЕО";"ДЕНДРО";"ФИЗУХА"}, 0), C83,C80,C82,C81,E81,E82,E80,E83)%)*(D79),0)</f>
        <v>0</v>
      </c>
      <c r="K123" s="1031">
        <f t="array" ref="K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*(1+J76%)*(1-CHOOSE(MATCH(LOWER(TRIM(N123)),{"КРИО";"ПИРО";"ЭЛЕКТРО";"ГИДРО";"АНЕМО";"ГЕО";"ДЕНДРО";"ФИЗУХА"}, 0), C83,C80,C82,C81,E81,E82,E80,E83)%)*(D79),0)</f>
        <v>0</v>
      </c>
      <c r="L123" s="1031">
        <f t="array" ref="L123">ROUND((CHOOSE(MATCH(LOWER(TRIM(M123)),{"СА";"СА+ХП";"СА+МС";"СА+ЗЩ";"ХП";"ЗЩ"},0), J74,J74,J74,J74,J78,J79)*Q123%
+CHOOSE(MATCH(LOWER(TRIM(M123)),{"СА";"СА+ХП";"СА+МС";"СА+ЗЩ";"ХП";"ЗЩ"},0), 0,J78,J75,J79,0,0)*R123%+IF(L44=TRUE,L86+CHOOSE(MATCH(LOWER(TRIM(S123)),{"ЕШКА";"УЛЬТА";"ОБ. УДАРЫ";"ЗАР. УДАРЫ";"ПРЫЖКИ";"УНИК. УДАР"},0),L84,L85,L81,L82,L83,0),0)
+CHOOSE(MATCH(LOWER(TRIM(J44)),{"ПАР";"ОБ.ПАР";"ТАЯНИЕ";"ОБ.ТАЯНИЕ";"ОБОСТР.";"РАЗРАСТ.";"НЕТ"},0), 0,0,0,0,D102,D103,0))
*(1+L87%+CHOOSE(MATCH(LOWER(TRIM(N123)),{"КРИО";"ПИРО";"ЭЛЕКТРО";"ГИДРО";"АНЕМО";"ГЕО";"ДЕНДРО";"ФИЗУХА"},0), L76,L73,L75,L74,L78,L77,L79,L80)%+CHOOSE(MATCH(LOWER(TRIM(S123)),{"ЕШКА";"УЛЬТА";"ОБ. УДАРЫ";"ЗАР. УДАРЫ";"ПРЫЖКИ";"УНИК. УДАР"},0), J84%,J85%,J86%,J87%,J88%,0))
*(1+(J76%+CHOOSE(MATCH(LOWER(TRIM(S123)),{"ЕШКА";"УЛЬТА";"ОБ. УДАРЫ";"ЗАР. УДАРЫ";"ПРЫЖКИ";"УНИК. УДАР"},0),J91,J92,J89,J90,J93,0)%)*MIN((J77%+CHOOSE(MATCH(LOWER(TRIM(S123)),{"ЕШКА";"УЛЬТА";"ОБ. УДАРЫ";"ЗАР. УДАРЫ";"ПРЫЖКИ";"УНИК. УДАР"},0),L90,L91,L88,L89,L92,0)%),100%))*(1-CHOOSE(MATCH(LOWER(TRIM(N123)),{"КРИО";"ПИРО";"ЭЛЕКТРО";"ГИДРО";"АНЕМО";"ГЕО";"ДЕНДРО";"ФИЗУХА"},0), C83,C80,C82,C81,E81,E82,E80,E83)%)*(D79),0)</f>
        <v>0</v>
      </c>
      <c r="M123" s="629" t="s">
        <v>125</v>
      </c>
      <c r="N123" s="1021" t="s">
        <v>1905</v>
      </c>
      <c r="P123" s="627" t="str">
        <f t="shared" si="18"/>
        <v>УНИК. УДАР</v>
      </c>
      <c r="Q123" s="1032"/>
      <c r="R123" s="1033"/>
      <c r="S123" s="1024" t="s">
        <v>2157</v>
      </c>
      <c r="T123" s="1025" t="s">
        <v>2143</v>
      </c>
    </row>
    <row r="124" ht="19.5" customHeight="1">
      <c r="I124" s="627" t="str">
        <f t="shared" si="17"/>
        <v>УНИК. УДАР</v>
      </c>
      <c r="J124" s="1020">
        <f t="array" ref="J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
(1+L87%+CHOOSE(MATCH(LOWER(TRIM(N124)),{"КРИО";"ПИРО";"ЭЛЕКТРО";"ГИДРО";"АНЕМО";"ГЕО";"ДЕНДРО";"ФИЗУХА"}, 0), L76,L73,L75,L74,L78,L77,L79,L80)%+CHOOSE(MATCH(LOWER(TRIM(S124)),{"ЕШКА";"УЛЬТА";"ОБ. УДАРЫ";"ЗАР. УДАРЫ";"ПРЫЖКИ";"УНИК. УДАР"},0),J84%,J85%,J86%,J87%,J88%,0))
*(1-CHOOSE(MATCH(LOWER(TRIM(N124)),{"КРИО";"ПИРО";"ЭЛЕКТРО";"ГИДРО";"АНЕМО";"ГЕО";"ДЕНДРО";"ФИЗУХА"}, 0), C83,C80,C82,C81,E81,E82,E80,E83)%)*(D79),0)</f>
        <v>0</v>
      </c>
      <c r="K124" s="1020">
        <f t="array" ref="K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УДАР"},0),L84,L85,L81,L82,L83,0),0))*
(1+L87%+CHOOSE(MATCH(LOWER(TRIM(N124)),{"КРИО";"ПИРО";"ЭЛЕКТРО";"ГИДРО";"АНЕМО";"ГЕО";"ДЕНДРО";"ФИЗУХА"}, 0), L76,L73,L75,L74,L78,L77,L79,L80)%+CHOOSE(MATCH(LOWER(TRIM(S124)),{"ЕШКА";"УЛЬТА";"ОБ. УДАРЫ";"ЗАР. УДАРЫ";"ПРЫЖКИ";"УНИК. УДАР"},0),J84%,J85%,J86%,J87%,J88%,0))
*(1+J76%)*(1-CHOOSE(MATCH(LOWER(TRIM(N124)),{"КРИО";"ПИРО";"ЭЛЕКТРО";"ГИДРО";"АНЕМО";"ГЕО";"ДЕНДРО";"ФИЗУХА"}, 0), C83,C80,C82,C81,E81,E82,E80,E83)%)*(D79),0)</f>
        <v>0</v>
      </c>
      <c r="L124" s="1020">
        <f t="array" ref="L124">ROUND((CHOOSE(MATCH(LOWER(TRIM(M124)),{"СА";"СА+ХП";"СА+МС";"СА+ЗЩ";"ХП";"ЗЩ"},0), J74,J74,J74,J74,J78,J79)*Q124%
+CHOOSE(MATCH(LOWER(TRIM(M124)),{"СА";"СА+ХП";"СА+МС";"СА+ЗЩ";"ХП";"ЗЩ"},0), 0,J78,J75,J79,0,0)*R124%+IF(L45=TRUE,L86+CHOOSE(MATCH(LOWER(TRIM(S124)),{"ЕШКА";"УЛЬТА";"ОБ. УДАРЫ";"ЗАР. УДАРЫ";"ПРЫЖКИ";"УНИК. УДАР"},0),L84,L85,L81,L82,L83,0),0)
+CHOOSE(MATCH(LOWER(TRIM(J45)),{"ПАР";"ОБ.ПАР";"ТАЯНИЕ";"ОБ.ТАЯНИЕ";"ОБОСТР.";"РАЗРАСТ.";"НЕТ"},0), 0,0,0,0,D102,D103,0))
*(1+L87%+CHOOSE(MATCH(LOWER(TRIM(N124)),{"КРИО";"ПИРО";"ЭЛЕКТРО";"ГИДРО";"АНЕМО";"ГЕО";"ДЕНДРО";"ФИЗУХА"},0), L76,L73,L75,L74,L78,L77,L79,L80)%+CHOOSE(MATCH(LOWER(TRIM(S124)),{"ЕШКА";"УЛЬТА";"ОБ. УДАРЫ";"ЗАР. УДАРЫ";"ПРЫЖКИ";"УНИК. УДАР"},0), J84%,J85%,J86%,J87%,J88%,0))
*(1+(J76%+CHOOSE(MATCH(LOWER(TRIM(S124)),{"ЕШКА";"УЛЬТА";"ОБ. УДАРЫ";"ЗАР. УДАРЫ";"ПРЫЖКИ";"УНИК. УДАР"},0),J91,J92,J89,J90,J93,0)%)*MIN((J77%+CHOOSE(MATCH(LOWER(TRIM(S124)),{"ЕШКА";"УЛЬТА";"ОБ. УДАРЫ";"ЗАР. УДАРЫ";"ПРЫЖКИ";"УНИК. УДАР"},0),L90,L91,L88,L89,L92,0)%),100%))*(1-CHOOSE(MATCH(LOWER(TRIM(N124)),{"КРИО";"ПИРО";"ЭЛЕКТРО";"ГИДРО";"АНЕМО";"ГЕО";"ДЕНДРО";"ФИЗУХА"},0), C83,C80,C82,C81,E81,E82,E80,E83)%)*(D79),0)</f>
        <v>0</v>
      </c>
      <c r="M124" s="629" t="s">
        <v>125</v>
      </c>
      <c r="N124" s="1021" t="s">
        <v>1905</v>
      </c>
      <c r="P124" s="627" t="str">
        <f t="shared" si="18"/>
        <v>УНИК. УДАР</v>
      </c>
      <c r="Q124" s="1022"/>
      <c r="R124" s="1023"/>
      <c r="S124" s="1053" t="s">
        <v>2157</v>
      </c>
      <c r="T124" s="1054" t="s">
        <v>2143</v>
      </c>
    </row>
    <row r="125" ht="19.5" customHeight="1">
      <c r="I125" s="627" t="str">
        <f t="shared" ref="I125:I128" si="19">P125</f>
        <v>ПРОЧЕЕ</v>
      </c>
      <c r="J125" s="628">
        <f t="array" ref="J125">ROUND((Q125+(CHOOSE(MATCH(LOWER(TRIM(M125)),{"СА";"ХП";"ЗЩ";"МС"}, 0), J74,J78,J79,J75)%*R125))*(1-CHOOSE(MATCH(LOWER(TRIM(N125)),{"КРИО";"ПИРО";"ЭЛЕКТРО";"ГИДРО";"АНЕМО";"ГЕО";"ДЕНДРО";"ФИЗУХА"}, 0), C83,C80,C82,C81,E81,E82,E80,E83)%),0)</f>
        <v>0</v>
      </c>
      <c r="K125" s="630" t="s">
        <v>14</v>
      </c>
      <c r="L125" s="630" t="s">
        <v>14</v>
      </c>
      <c r="M125" s="629" t="s">
        <v>125</v>
      </c>
      <c r="N125" s="1055" t="s">
        <v>2170</v>
      </c>
      <c r="P125" s="627" t="s">
        <v>1912</v>
      </c>
      <c r="Q125" s="1027"/>
      <c r="R125" s="1055"/>
      <c r="S125" s="472"/>
      <c r="T125" s="472"/>
    </row>
    <row r="126" ht="19.5" customHeight="1">
      <c r="I126" s="615" t="str">
        <f t="shared" si="19"/>
        <v>ЛЕЧЕНИЕ</v>
      </c>
      <c r="J126" s="1056">
        <f t="array" ref="J126">ROUND((R126+(CHOOSE(MATCH(LOWER(TRIM(M126)),{"СА";"ХП";"ЗЩ";"МС"}, 0), J74,J78,J79,J75)*Q126%))*(1+J81%+J82%),0)</f>
        <v>0</v>
      </c>
      <c r="K126" s="1057">
        <v>1.0</v>
      </c>
      <c r="L126" s="1057">
        <f>J126*K126</f>
        <v>0</v>
      </c>
      <c r="M126" s="1058" t="s">
        <v>165</v>
      </c>
      <c r="N126" s="1059" t="s">
        <v>1918</v>
      </c>
      <c r="P126" s="615" t="s">
        <v>1919</v>
      </c>
      <c r="Q126" s="1060"/>
      <c r="R126" s="1061"/>
      <c r="S126" s="471" t="s">
        <v>1919</v>
      </c>
      <c r="T126" s="1062" t="s">
        <v>2143</v>
      </c>
    </row>
    <row r="127" ht="19.5" customHeight="1">
      <c r="I127" s="627" t="str">
        <f t="shared" si="19"/>
        <v>ЛЕЧЕНИЕ</v>
      </c>
      <c r="J127" s="1036">
        <f t="array" ref="J127">ROUND((R127+(CHOOSE(MATCH(LOWER(TRIM(M127)),{"СА";"ХП";"ЗЩ";"МС"}, 0), J74,J78,J79,J75)*Q127%))*(1+J81%+J82%),0)</f>
        <v>0</v>
      </c>
      <c r="K127" s="630">
        <v>1.0</v>
      </c>
      <c r="L127" s="630">
        <f t="shared" ref="L127:L128" si="20">K127*J127</f>
        <v>0</v>
      </c>
      <c r="M127" s="629" t="s">
        <v>1330</v>
      </c>
      <c r="N127" s="1063" t="s">
        <v>1918</v>
      </c>
      <c r="P127" s="627" t="s">
        <v>1919</v>
      </c>
      <c r="Q127" s="1022"/>
      <c r="R127" s="1023"/>
      <c r="S127" s="1064"/>
      <c r="T127" s="1065" t="s">
        <v>2143</v>
      </c>
    </row>
    <row r="128" ht="19.5" customHeight="1">
      <c r="I128" s="750" t="str">
        <f t="shared" si="19"/>
        <v>ЩИТ</v>
      </c>
      <c r="J128" s="1066">
        <f t="array" ref="J128">ROUND((R128+(CHOOSE(MATCH(LOWER(TRIM(M128)),{"СА";"ХП";"ЗЩ";"МС"}, 0), J74,J78,J79,J75)*Q128%))*(1+J83%),0)</f>
        <v>0</v>
      </c>
      <c r="K128" s="1067">
        <v>1.0</v>
      </c>
      <c r="L128" s="1067">
        <f t="shared" si="20"/>
        <v>0</v>
      </c>
      <c r="M128" s="1068" t="s">
        <v>165</v>
      </c>
      <c r="N128" s="1069" t="s">
        <v>1877</v>
      </c>
      <c r="P128" s="750" t="s">
        <v>1932</v>
      </c>
      <c r="Q128" s="1070"/>
      <c r="R128" s="1071"/>
      <c r="S128" s="471" t="s">
        <v>1932</v>
      </c>
      <c r="T128" s="1072" t="s">
        <v>2143</v>
      </c>
    </row>
    <row r="129" ht="19.5" customHeight="1">
      <c r="I129" s="472"/>
      <c r="J129" s="1073" t="s">
        <v>2171</v>
      </c>
      <c r="K129" s="1074" t="s">
        <v>1927</v>
      </c>
      <c r="L129" s="1075" t="s">
        <v>2172</v>
      </c>
      <c r="M129" s="472"/>
      <c r="N129" s="472"/>
      <c r="P129" s="1076" t="s">
        <v>2173</v>
      </c>
      <c r="Q129" s="1077" t="s">
        <v>2137</v>
      </c>
      <c r="R129" s="1078" t="s">
        <v>2174</v>
      </c>
      <c r="S129" s="472"/>
      <c r="T129" s="472"/>
    </row>
    <row r="130" ht="19.5" customHeight="1">
      <c r="B130" s="473"/>
    </row>
  </sheetData>
  <mergeCells count="142">
    <mergeCell ref="Q2:Q3"/>
    <mergeCell ref="K3:O4"/>
    <mergeCell ref="A2:A3"/>
    <mergeCell ref="B4:C11"/>
    <mergeCell ref="D4:E5"/>
    <mergeCell ref="F4:F7"/>
    <mergeCell ref="D6:E7"/>
    <mergeCell ref="Q4:R5"/>
    <mergeCell ref="S4:S5"/>
    <mergeCell ref="H2:H3"/>
    <mergeCell ref="K5:L6"/>
    <mergeCell ref="M5:M6"/>
    <mergeCell ref="N5:O6"/>
    <mergeCell ref="D8:E9"/>
    <mergeCell ref="F8:F11"/>
    <mergeCell ref="S10:T10"/>
    <mergeCell ref="S11:S12"/>
    <mergeCell ref="B2:E3"/>
    <mergeCell ref="B12:D12"/>
    <mergeCell ref="T11:T13"/>
    <mergeCell ref="S13:S14"/>
    <mergeCell ref="L13:M13"/>
    <mergeCell ref="L14:M14"/>
    <mergeCell ref="I7:K15"/>
    <mergeCell ref="L7:M7"/>
    <mergeCell ref="L8:M8"/>
    <mergeCell ref="L9:M9"/>
    <mergeCell ref="L10:M10"/>
    <mergeCell ref="L11:M11"/>
    <mergeCell ref="L12:M12"/>
    <mergeCell ref="T14:T16"/>
    <mergeCell ref="L15:M15"/>
    <mergeCell ref="S15:S16"/>
    <mergeCell ref="N16:O16"/>
    <mergeCell ref="B21:E22"/>
    <mergeCell ref="B23:C24"/>
    <mergeCell ref="D23:E24"/>
    <mergeCell ref="B25:C25"/>
    <mergeCell ref="D25:E25"/>
    <mergeCell ref="B27:E27"/>
    <mergeCell ref="O27:Q28"/>
    <mergeCell ref="R27:T28"/>
    <mergeCell ref="S34:T34"/>
    <mergeCell ref="S35:S36"/>
    <mergeCell ref="T35:T36"/>
    <mergeCell ref="B37:D38"/>
    <mergeCell ref="E37:F38"/>
    <mergeCell ref="T37:T39"/>
    <mergeCell ref="S38:S39"/>
    <mergeCell ref="B39:C40"/>
    <mergeCell ref="D39:D40"/>
    <mergeCell ref="H16:M17"/>
    <mergeCell ref="B18:B19"/>
    <mergeCell ref="C18:C19"/>
    <mergeCell ref="D18:D19"/>
    <mergeCell ref="E39:E40"/>
    <mergeCell ref="F39:F40"/>
    <mergeCell ref="S40:T41"/>
    <mergeCell ref="B41:C42"/>
    <mergeCell ref="D41:D42"/>
    <mergeCell ref="E41:E42"/>
    <mergeCell ref="F41:F42"/>
    <mergeCell ref="B43:C44"/>
    <mergeCell ref="D43:D44"/>
    <mergeCell ref="E43:E44"/>
    <mergeCell ref="F43:F44"/>
    <mergeCell ref="S46:T47"/>
    <mergeCell ref="E47:E48"/>
    <mergeCell ref="F47:F48"/>
    <mergeCell ref="I48:M49"/>
    <mergeCell ref="O48:O49"/>
    <mergeCell ref="P48:P49"/>
    <mergeCell ref="E49:E50"/>
    <mergeCell ref="F49:F50"/>
    <mergeCell ref="S49:T50"/>
    <mergeCell ref="O50:R51"/>
    <mergeCell ref="S52:S53"/>
    <mergeCell ref="T52:T53"/>
    <mergeCell ref="S54:S55"/>
    <mergeCell ref="T54:T55"/>
    <mergeCell ref="B56:E57"/>
    <mergeCell ref="S56:S57"/>
    <mergeCell ref="O57:P57"/>
    <mergeCell ref="Q57:R57"/>
    <mergeCell ref="T56:T57"/>
    <mergeCell ref="O58:Q59"/>
    <mergeCell ref="R58:R59"/>
    <mergeCell ref="S58:S59"/>
    <mergeCell ref="T58:T59"/>
    <mergeCell ref="I66:M66"/>
    <mergeCell ref="O70:T71"/>
    <mergeCell ref="S43:T44"/>
    <mergeCell ref="B45:C46"/>
    <mergeCell ref="D45:D46"/>
    <mergeCell ref="E45:E46"/>
    <mergeCell ref="F45:F46"/>
    <mergeCell ref="I71:N72"/>
    <mergeCell ref="Q74:Q75"/>
    <mergeCell ref="B75:E76"/>
    <mergeCell ref="Q76:Q77"/>
    <mergeCell ref="Q78:Q79"/>
    <mergeCell ref="B79:C79"/>
    <mergeCell ref="D79:E79"/>
    <mergeCell ref="Q80:Q81"/>
    <mergeCell ref="B84:E84"/>
    <mergeCell ref="B89:D89"/>
    <mergeCell ref="B94:T94"/>
    <mergeCell ref="B95:H96"/>
    <mergeCell ref="I95:N96"/>
    <mergeCell ref="O95:O129"/>
    <mergeCell ref="P95:T96"/>
    <mergeCell ref="B111:C111"/>
    <mergeCell ref="B112:C112"/>
    <mergeCell ref="B113:C113"/>
    <mergeCell ref="B114:C114"/>
    <mergeCell ref="B115:C115"/>
    <mergeCell ref="B116:C116"/>
    <mergeCell ref="B117:C117"/>
    <mergeCell ref="B118:C118"/>
    <mergeCell ref="B119:H129"/>
    <mergeCell ref="B130:T130"/>
    <mergeCell ref="B1:T1"/>
    <mergeCell ref="U1:U130"/>
    <mergeCell ref="F2:G3"/>
    <mergeCell ref="R2:T3"/>
    <mergeCell ref="A4:A130"/>
    <mergeCell ref="T4:T6"/>
    <mergeCell ref="F12:F15"/>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s>
  <dataValidations>
    <dataValidation type="list" allowBlank="1" showErrorMessage="1" sqref="N98:N125 N128">
      <formula1>"КРИО,ПИРО,ЭЛЕКТРО,ГИДРО,АНЕМО,ГЕО,ДЕНДРО,ФИЗУХА"</formula1>
    </dataValidation>
    <dataValidation type="list" allowBlank="1" showErrorMessage="1" sqref="G5 D6 G9 G13">
      <formula1>"АНЕМО,ГЕО,ПИРО,ГИДРО,ЭЛЕКТРО,КРИО,ДЕНДРО,ФИЗУХА"</formula1>
    </dataValidation>
    <dataValidation type="list" allowBlank="1" sqref="D4">
      <formula1>"КЛИ,ЯНЬ ФЭЙ"</formula1>
    </dataValidation>
    <dataValidation type="list" allowBlank="1" showErrorMessage="1" sqref="R27">
      <formula1>"СЕРЕНАДА ЛУНЫ,НОЧЬ НЕБА,КЛЯТВА НОЧИ,ФИНАЛ ГЛУБИН,СВИТОК ГЕРОЯ,ОБСИД. ФОЛИАНТ,ФРАГМЕНТ,ГРЁЗЫ,ШЁПОТ В ЛЕСУ,ПЕСНЬ ВРЕМЁН,ЗОЛОТАЯ ТРУППА,ОХОТНИК СУМРАЧ.,ВУРУКАШ,СОН НИМФЫ,ЦВЕТОК РАЯ,ХРОНИКИ ПУСТ.,ПОЗОЛОЧ. СНЫ,ДРЕМУЧИЙ ЛЕС,ПОДНОШЕНИЕ,КИНОВАРА,МОЛЛЮСК,КОКОН,ЭМБ"&amp;"ЛЕМА,СИМЭНАВА,БЛЕДНЫЙ ОГОНЬ,МИЛЛЕЛИТ,СЕРДЦЕ ГЛУБИН,МЕТЕЛЬ,АРХАИЧНЫЙ,КОМЕТА,ЦЕРЕМОНИЯ,РЫЦАРЬ КРОВИ,АЛАЯ ВЕДЬМА,СТУП. ПО ЛАВЕ,РЁВ ЯРОСТИ,ГРОМ,ТЕНЬ,ДЕВА,ГЛАДИАТОР,АНСАМБЛЬ"</formula1>
    </dataValidation>
    <dataValidation type="list" allowBlank="1" showErrorMessage="1" sqref="B115">
      <formula1>"РАССЕИВАНИЕ 2,РАССЕИВ. + С6"</formula1>
    </dataValidation>
    <dataValidation type="list" allowBlank="1" showErrorMessage="1" sqref="B105">
      <formula1>"БУТОН,БУТОН+С2(НАХ),БУТОН+А1(ЛАУ),БУТОН+С2+А1"</formula1>
    </dataValidation>
    <dataValidation type="list" allowBlank="1" showErrorMessage="1" sqref="R82">
      <formula1>"ШАБАШ,НЕ ШАБАШ,НЕ АКТИВ"</formula1>
    </dataValidation>
    <dataValidation type="list" allowBlank="1" showErrorMessage="1" sqref="S98:S124">
      <formula1>"ЕШКА,УЛЬТА,ОБ. УДАРЫ,ЗАР. УДАРЫ,ПРЫЖКИ,УНИК. УДАР"</formula1>
    </dataValidation>
    <dataValidation type="list" allowBlank="1" showErrorMessage="1" sqref="N126:N127">
      <formula1>"КРИО,ПИРО,ЭЛЕКТРО,ГИДРО,АНЕМО,ГЕО,ДЕНДРО,ФИЗУХА,НЕТ"</formula1>
    </dataValidation>
    <dataValidation type="list" allowBlank="1" showErrorMessage="1" sqref="M125:M128">
      <formula1>"СА,ХП,ЗЩ,МС"</formula1>
    </dataValidation>
    <dataValidation type="list" allowBlank="1" showErrorMessage="1" sqref="R6">
      <formula1>"КУ%,ШК%,СА%,ХП%,ЗЩ%,ВЭ%,МС,ФИЗ%"</formula1>
    </dataValidation>
    <dataValidation type="list" allowBlank="1" showErrorMessage="1" sqref="T126:T128">
      <formula1>"10 ЛВЛ,13 ЛВЛ"</formula1>
    </dataValidation>
    <dataValidation type="list" allowBlank="1" showErrorMessage="1" sqref="G6 D8 G10 G14">
      <formula1>"ДВУРУК,ОДНОРУК,СТРЕЛОК,КАТАЛИК,КОПЕЙЩИК"</formula1>
    </dataValidation>
    <dataValidation type="list" allowBlank="1" showErrorMessage="1" sqref="S43">
      <formula1>"СА%,ХП%,ЗЩ%,МС,ВЭ%,НЕТ"</formula1>
    </dataValidation>
    <dataValidation type="list" allowBlank="1" showErrorMessage="1" sqref="C18">
      <formula1>"ПИРО ПЕРС,КРИО ПЕРС,ЭЛЕК. ПЕРС,ГИДРО ПЕРС,АНЕМО ПЕРС,ДЕНД. ПЕРС,ГЕО ПЕРС"</formula1>
    </dataValidation>
    <dataValidation type="list" allowBlank="1" showErrorMessage="1" sqref="M98:M124">
      <formula1>"СА,СА+ХП,СА+МС,СА+ЗЩ,ХП,ЗЩ"</formula1>
    </dataValidation>
    <dataValidation type="list" allowBlank="1" showErrorMessage="1" sqref="T98:T124">
      <formula1>"1 ЛВЛ,6 ЛВЛ,9 ЛВЛ,10 ЛВЛ,11 ЛВЛ,12 ЛВЛ,13 ЛВЛ,14 ЛВЛ"</formula1>
    </dataValidation>
    <dataValidation type="list" allowBlank="1" showErrorMessage="1" sqref="D17">
      <formula1>"20 МС,30 МС,50 МС,НЕТ"</formula1>
    </dataValidation>
    <dataValidation type="list" allowBlank="1" showErrorMessage="1" sqref="S49">
      <formula1>"КУ%,ШК%,СА%,ХП%,ЗЩ%,МС,БОНУС ЛЕЧЕНИЕ,НЕТ"</formula1>
    </dataValidation>
    <dataValidation type="list" allowBlank="1" showErrorMessage="1" sqref="T74">
      <formula1>"НАТЛАН,НЕ НАТЛАН,НЕ АКТИВ"</formula1>
    </dataValidation>
    <dataValidation type="list" allowBlank="1" showErrorMessage="1" sqref="H114:H115">
      <formula1>"🔥ПИРО,💧ГИДРО,⚡️ЭЛЕКТРО,❄️КРИО"</formula1>
    </dataValidation>
    <dataValidation type="list" allowBlank="1" showErrorMessage="1" sqref="S38">
      <formula1>"ПИРО,ГИДРО,ЭЛЕКТРО,КРИО,ГЕО,АНЕМО,ДЕНДРО,НЕТ"</formula1>
    </dataValidation>
    <dataValidation type="list" allowBlank="1" showErrorMessage="1" sqref="S46">
      <formula1>"АФ.КРИО%,АФ.ПИРО%,АФ.ГИДРО%,АФ.ЭЛЕКТРО%,АФ.ГЕО%,АФ.АНЕМО%,АФ.ДЕНДРО%,АФ.ФИЗ.%,СА%,ХП%,ЗЩ%,МС,НЕТ"</formula1>
    </dataValidation>
    <dataValidation type="list" allowBlank="1" sqref="R2">
      <formula1>"НЕБЕСНЫЙ АТЛАС,МОЛИТВА ВЕТРАМ,ПАМЯТЬ О ПЫЛИ,ВЕЛИКОЛЕПИЕ СВОДА,ВЕЧНОЕ СИЯНИЕ,КАГУРА,СНОВИДЕНИЯ,ВОСПОМИНАНИЯ,НАДЗОР,ОБРЯД ТЕЧЕНИЯ,КЛИЧ ЖУРАВЛЯ,ЛОВИ ВОЛНУ,БДЕНИЕ ЗВЁЗД,СОН УТРОМ,ЧАЯНИЯ,ЗЕРКАЛО НОЧИ,ШКАТУЛКА ИСТИН,ФАВОНИЙ КАТАЛ,ПЕСНЬ СТРАННИКА,ЦЕРЕМОН. КАТАЛ,"&amp;"КОРОЛЕВ. КАТАЛ,ЖЕМЧУЖИНА,ПРОТ. ЯНТАРЬ,МОРСКОЙ АТЛАС,ЧЕРНОГОР КАТАЛ,ОКО СОЗНАНИЯ,ВИНО И ПЕСНИ,ПЛОД МЕРЗЛОТЫ,ИСТОРИИ ДОДОКО,КОЛЬЦО ХАКУСИН,ОКО КЛЯТВЫ,СКИТ. ЗВЕЗДА,ПЛОД ВОСПОЛНЕНИЯ,ЖЕРТВ. НЕФРИТ,СВЕРКАНИЕ ВОД,ПЕСНЬ ЛАЗУРИ,ПЕПЕЛЬНЫЙ РОГ,ВИХРЬ,КОЛЬЦО ЯШЧЕ,ЛЮТН"&amp;"Я,ФОНАРЬ ЧЕРНЫЙ,РАССВЕТ. ИНЕЙ,ЭПОС ДРАКОНА"</formula1>
    </dataValidation>
    <dataValidation type="list" allowBlank="1" sqref="T80 T82">
      <formula1>"2 НОДА,1 НОД,НЕ АКТИВ"</formula1>
    </dataValidation>
    <dataValidation type="list" allowBlank="1" showErrorMessage="1" sqref="B106">
      <formula1>"ВЕГЕТАЦИЯ,ВЕГЕТАЦИЯ+С2,ВЕГЕТАЦИЯ+А1,ВЕГЕТ.+С2+А1"</formula1>
    </dataValidation>
    <dataValidation type="list" allowBlank="1" showErrorMessage="1" sqref="B107">
      <formula1>"ЦВЕТЕНИЕ,ЦВЕТЕНИЕ+С2,ЦВЕТЕНИЕ+А1,ЦВЕТ.+С2+А1"</formula1>
    </dataValidation>
    <dataValidation type="list" allowBlank="1" showErrorMessage="1" sqref="J19:J46">
      <formula1>"ПАР,ОБ.ПАР,ТАЯНИЕ,ОБ.ТАЯНИЕ,РАЗРАСТ.,ОБОСТР.,НЕТ"</formula1>
    </dataValidation>
    <dataValidation type="list" allowBlank="1" showErrorMessage="1" sqref="T4">
      <formula1>"РП1,РП2,РП3,РП4,РП5"</formula1>
    </dataValidation>
    <dataValidation type="list" allowBlank="1" showErrorMessage="1" sqref="B114">
      <formula1>"РАССЕИВАНИЕ 1,РАССЕИВ. + С6"</formula1>
    </dataValidation>
    <dataValidation type="list" allowBlank="1" sqref="G8">
      <formula1>"ГИДРО ГГ,АЯТО,ДАЛИЯ,НИЛУ,СИН ЦЮ,ФУРИНА"</formula1>
    </dataValidation>
    <dataValidation type="list" allowBlank="1" showErrorMessage="1" sqref="S35">
      <formula1>"НЕТ,1,2,3,4,5"</formula1>
    </dataValidation>
    <dataValidation type="list" allowBlank="1" showErrorMessage="1" sqref="S11 S13 S15">
      <formula1>"НЕТ,1,2,3,4,5,6"</formula1>
    </dataValidation>
    <dataValidation type="list" allowBlank="1" showErrorMessage="1" sqref="B23">
      <formula1>"УРОВЕНЬ 100,УРОВЕНЬ 95,УРОВЕНЬ 90,УРОВЕНЬ 80"</formula1>
    </dataValidation>
    <dataValidation type="list" allowBlank="1" sqref="G4">
      <formula1>"АЛЬБЕДО,ТИОРИ,ШИЛОНЕН,ГЕО ГГ"</formula1>
    </dataValidation>
    <dataValidation type="list" allowBlank="1" sqref="G12">
      <formula1>"Е ЛАНЬ,СИДЖВИН,ТАРТАЛЬЯ"</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B7B7"/>
    <outlinePr summaryBelow="0" summaryRight="0"/>
  </sheetPr>
  <sheetViews>
    <sheetView workbookViewId="0"/>
  </sheetViews>
  <sheetFormatPr customHeight="1" defaultColWidth="12.63" defaultRowHeight="15.75"/>
  <cols>
    <col customWidth="1" min="1" max="1" width="7.0"/>
    <col customWidth="1" min="2" max="20" width="14.25"/>
    <col customWidth="1" min="21" max="21" width="7.0"/>
  </cols>
  <sheetData>
    <row r="1" ht="19.5" customHeight="1">
      <c r="A1" s="471" t="str">
        <f>IF(A2=true,"CALC","OFFCALC")</f>
        <v>CALC</v>
      </c>
      <c r="B1" s="472"/>
      <c r="U1" s="473"/>
    </row>
    <row r="2" ht="19.5" customHeight="1">
      <c r="A2" s="474" t="b">
        <v>1</v>
      </c>
      <c r="B2" s="475" t="s">
        <v>1867</v>
      </c>
      <c r="C2" s="476"/>
      <c r="D2" s="476"/>
      <c r="E2" s="477"/>
      <c r="F2" s="478" t="s">
        <v>1868</v>
      </c>
      <c r="G2" s="477"/>
      <c r="H2" s="479" t="s">
        <v>571</v>
      </c>
      <c r="I2" s="473"/>
      <c r="J2" s="473"/>
      <c r="K2" s="473"/>
      <c r="L2" s="473"/>
      <c r="M2" s="473"/>
      <c r="N2" s="473"/>
      <c r="O2" s="473"/>
      <c r="P2" s="473"/>
      <c r="Q2" s="481" t="s">
        <v>1870</v>
      </c>
      <c r="R2" s="482" t="s">
        <v>2291</v>
      </c>
      <c r="S2" s="483"/>
      <c r="T2" s="484"/>
    </row>
    <row r="3" ht="19.5" customHeight="1">
      <c r="A3" s="485"/>
      <c r="B3" s="486"/>
      <c r="C3" s="486"/>
      <c r="D3" s="486"/>
      <c r="E3" s="487"/>
      <c r="F3" s="488"/>
      <c r="G3" s="487"/>
      <c r="H3" s="489"/>
      <c r="I3" s="473"/>
      <c r="J3" s="473"/>
      <c r="K3" s="491" t="s">
        <v>1872</v>
      </c>
      <c r="L3" s="492"/>
      <c r="M3" s="492"/>
      <c r="N3" s="492"/>
      <c r="O3" s="493"/>
      <c r="P3" s="473"/>
      <c r="Q3" s="494"/>
      <c r="R3" s="495"/>
      <c r="S3" s="495"/>
      <c r="T3" s="496"/>
    </row>
    <row r="4" ht="19.5" customHeight="1">
      <c r="A4" s="471"/>
      <c r="B4" s="497" t="str">
        <f>IMAGE("https://drive.google.com/uc?id=1kS6R6SRvGJby89WZUxGH__q1uFCFNJDT")</f>
        <v/>
      </c>
      <c r="C4" s="477"/>
      <c r="D4" s="498" t="s">
        <v>2292</v>
      </c>
      <c r="E4" s="477"/>
      <c r="F4" s="499" t="str">
        <f>IMAGE("https://drive.google.com/uc?id=11dLFnZfQC_jdGHxalJahrsmTn1-qRfI-")</f>
        <v/>
      </c>
      <c r="G4" s="500" t="s">
        <v>2293</v>
      </c>
      <c r="H4" s="501">
        <v>100000.0</v>
      </c>
      <c r="I4" s="473"/>
      <c r="J4" s="473"/>
      <c r="K4" s="502"/>
      <c r="L4" s="503"/>
      <c r="M4" s="503"/>
      <c r="N4" s="503"/>
      <c r="O4" s="504"/>
      <c r="P4" s="473"/>
      <c r="Q4" s="505" t="s">
        <v>1875</v>
      </c>
      <c r="R4" s="506"/>
      <c r="S4" s="507">
        <v>548.0</v>
      </c>
      <c r="T4" s="508" t="s">
        <v>1876</v>
      </c>
    </row>
    <row r="5" ht="19.5" customHeight="1">
      <c r="B5" s="509"/>
      <c r="C5" s="510"/>
      <c r="D5" s="511"/>
      <c r="E5" s="512"/>
      <c r="F5" s="513"/>
      <c r="G5" s="514" t="s">
        <v>1877</v>
      </c>
      <c r="H5" s="515"/>
      <c r="I5" s="473"/>
      <c r="J5" s="473"/>
      <c r="K5" s="516" t="s">
        <v>1878</v>
      </c>
      <c r="L5" s="492"/>
      <c r="M5" s="517" t="str">
        <f>D4</f>
        <v>КОЛОМБИНА</v>
      </c>
      <c r="N5" s="518">
        <f>SUM(O8:O15)</f>
        <v>752455</v>
      </c>
      <c r="O5" s="519"/>
      <c r="P5" s="473"/>
      <c r="Q5" s="520"/>
      <c r="R5" s="521"/>
      <c r="S5" s="522"/>
      <c r="T5" s="523"/>
    </row>
    <row r="6" ht="19.5" customHeight="1">
      <c r="B6" s="509"/>
      <c r="C6" s="510"/>
      <c r="D6" s="524" t="s">
        <v>2181</v>
      </c>
      <c r="E6" s="525"/>
      <c r="F6" s="513"/>
      <c r="G6" s="526" t="s">
        <v>2294</v>
      </c>
      <c r="H6" s="515"/>
      <c r="I6" s="473"/>
      <c r="J6" s="473"/>
      <c r="K6" s="502"/>
      <c r="L6" s="503"/>
      <c r="M6" s="504"/>
      <c r="N6" s="527"/>
      <c r="O6" s="528"/>
      <c r="P6" s="473"/>
      <c r="Q6" s="529" t="s">
        <v>1880</v>
      </c>
      <c r="R6" s="530" t="s">
        <v>1881</v>
      </c>
      <c r="S6" s="531">
        <v>88.2</v>
      </c>
      <c r="T6" s="494"/>
    </row>
    <row r="7" ht="19.5" customHeight="1">
      <c r="B7" s="509"/>
      <c r="C7" s="510"/>
      <c r="D7" s="511"/>
      <c r="E7" s="512"/>
      <c r="F7" s="532"/>
      <c r="G7" s="533"/>
      <c r="H7" s="515"/>
      <c r="I7" s="473"/>
      <c r="L7" s="534" t="s">
        <v>1882</v>
      </c>
      <c r="M7" s="521"/>
      <c r="N7" s="535" t="s">
        <v>1883</v>
      </c>
      <c r="O7" s="536" t="s">
        <v>571</v>
      </c>
      <c r="P7" s="473"/>
      <c r="Q7" s="537" t="s">
        <v>1884</v>
      </c>
      <c r="R7" s="538"/>
      <c r="S7" s="539" t="s">
        <v>1885</v>
      </c>
      <c r="T7" s="540"/>
    </row>
    <row r="8" ht="19.5" customHeight="1">
      <c r="B8" s="509"/>
      <c r="C8" s="510"/>
      <c r="D8" s="541" t="s">
        <v>2179</v>
      </c>
      <c r="E8" s="525"/>
      <c r="F8" s="542" t="str">
        <f>IMAGE("https://drive.google.com/uc?id=1R5BhO1mQqsZjrlIp-9iGsJs3qcBnTgtv")</f>
        <v/>
      </c>
      <c r="G8" s="500" t="s">
        <v>2295</v>
      </c>
      <c r="H8" s="501">
        <v>1000000.0</v>
      </c>
      <c r="L8" s="543" t="s">
        <v>1888</v>
      </c>
      <c r="M8" s="544"/>
      <c r="N8" s="545">
        <f>IFERROR(O8/N5,"-")</f>
        <v>0</v>
      </c>
      <c r="O8" s="546">
        <f>SUMIF(S98:S124, "ОБ. УДАРЫ", M19:M45)</f>
        <v>0</v>
      </c>
      <c r="P8" s="473"/>
      <c r="Q8" s="547" t="s">
        <v>1889</v>
      </c>
      <c r="R8" s="548">
        <v>24.0</v>
      </c>
      <c r="S8" s="549" t="s">
        <v>1890</v>
      </c>
      <c r="T8" s="550"/>
    </row>
    <row r="9" ht="19.5" customHeight="1">
      <c r="B9" s="509"/>
      <c r="C9" s="510"/>
      <c r="D9" s="488"/>
      <c r="E9" s="487"/>
      <c r="F9" s="513"/>
      <c r="G9" s="514" t="s">
        <v>1877</v>
      </c>
      <c r="H9" s="515"/>
      <c r="L9" s="551" t="s">
        <v>1891</v>
      </c>
      <c r="M9" s="544"/>
      <c r="N9" s="552">
        <f>IFERROR(O9/N5,"-")</f>
        <v>0</v>
      </c>
      <c r="O9" s="553">
        <f>SUMIF(S98:S124, "ЗАР. УДАРЫ", M19:M45)</f>
        <v>0</v>
      </c>
      <c r="P9" s="473"/>
      <c r="Q9" s="537" t="s">
        <v>1892</v>
      </c>
      <c r="R9" s="538"/>
      <c r="S9" s="539" t="s">
        <v>1893</v>
      </c>
      <c r="T9" s="540"/>
    </row>
    <row r="10" ht="19.5" customHeight="1">
      <c r="B10" s="509"/>
      <c r="C10" s="510"/>
      <c r="D10" s="554"/>
      <c r="E10" s="554"/>
      <c r="F10" s="513"/>
      <c r="G10" s="526" t="s">
        <v>1894</v>
      </c>
      <c r="H10" s="515"/>
      <c r="L10" s="543" t="s">
        <v>1895</v>
      </c>
      <c r="M10" s="544"/>
      <c r="N10" s="545">
        <f>IFERROR(O10/N5,"-")</f>
        <v>0</v>
      </c>
      <c r="O10" s="546">
        <f>SUMIF(S98:S124, "ПРЫЖКИ", M19:M45)</f>
        <v>0</v>
      </c>
      <c r="P10" s="473"/>
      <c r="Q10" s="555" t="s">
        <v>1896</v>
      </c>
      <c r="R10" s="556"/>
      <c r="S10" s="557" t="s">
        <v>1897</v>
      </c>
      <c r="T10" s="558"/>
    </row>
    <row r="11" ht="19.5" customHeight="1">
      <c r="B11" s="488"/>
      <c r="C11" s="487"/>
      <c r="D11" s="554"/>
      <c r="E11" s="554"/>
      <c r="F11" s="532"/>
      <c r="G11" s="533"/>
      <c r="H11" s="515"/>
      <c r="L11" s="551" t="s">
        <v>1898</v>
      </c>
      <c r="M11" s="544"/>
      <c r="N11" s="552">
        <f>IFERROR(O11/N5,"-")</f>
        <v>0.9546511087</v>
      </c>
      <c r="O11" s="553">
        <f>SUMIF(S98:S124, "ЕШКА", M19:M45)</f>
        <v>718332</v>
      </c>
      <c r="P11" s="473"/>
      <c r="Q11" s="537" t="s">
        <v>1899</v>
      </c>
      <c r="R11" s="559"/>
      <c r="S11" s="560">
        <v>6.0</v>
      </c>
      <c r="T11" s="561" t="b">
        <v>1</v>
      </c>
    </row>
    <row r="12" ht="19.5" customHeight="1">
      <c r="B12" s="562" t="s">
        <v>1900</v>
      </c>
      <c r="C12" s="563"/>
      <c r="D12" s="564"/>
      <c r="E12" s="554"/>
      <c r="F12" s="542" t="str">
        <f>IMAGE("https://drive.google.com/uc?id=10G-FRLuFy4nCWPvnTXGD0NJ3QS_nCjmA")</f>
        <v/>
      </c>
      <c r="G12" s="500" t="s">
        <v>2296</v>
      </c>
      <c r="H12" s="501">
        <v>500000.0</v>
      </c>
      <c r="L12" s="543" t="s">
        <v>1902</v>
      </c>
      <c r="M12" s="544"/>
      <c r="N12" s="545">
        <f>IFERROR(O12/N5,"-")</f>
        <v>0.0453488913</v>
      </c>
      <c r="O12" s="546">
        <f>SUMIF(S98:S124, "УЛЬТА", M19:M45)</f>
        <v>34123</v>
      </c>
      <c r="P12" s="473"/>
      <c r="Q12" s="547" t="s">
        <v>1903</v>
      </c>
      <c r="R12" s="565"/>
      <c r="S12" s="566"/>
      <c r="T12" s="567"/>
    </row>
    <row r="13" ht="19.5" customHeight="1">
      <c r="B13" s="568" t="s">
        <v>1904</v>
      </c>
      <c r="C13" s="569" t="b">
        <v>0</v>
      </c>
      <c r="D13" s="570"/>
      <c r="E13" s="554"/>
      <c r="F13" s="513"/>
      <c r="G13" s="514" t="s">
        <v>1877</v>
      </c>
      <c r="H13" s="515"/>
      <c r="L13" s="551" t="s">
        <v>1906</v>
      </c>
      <c r="M13" s="544"/>
      <c r="N13" s="552">
        <f>IFERROR(O13/N5,"-")</f>
        <v>0</v>
      </c>
      <c r="O13" s="553">
        <f>SUMIF(S98:S124, "УНИК. УДАР", M19:M45)</f>
        <v>0</v>
      </c>
      <c r="P13" s="473"/>
      <c r="Q13" s="537" t="s">
        <v>1907</v>
      </c>
      <c r="R13" s="559"/>
      <c r="S13" s="571">
        <v>6.0</v>
      </c>
      <c r="T13" s="567"/>
    </row>
    <row r="14" ht="19.5" customHeight="1">
      <c r="B14" s="572" t="s">
        <v>1908</v>
      </c>
      <c r="C14" s="573" t="b">
        <v>0</v>
      </c>
      <c r="D14" s="570"/>
      <c r="E14" s="554"/>
      <c r="F14" s="513"/>
      <c r="G14" s="526" t="s">
        <v>1894</v>
      </c>
      <c r="H14" s="515"/>
      <c r="L14" s="543" t="s">
        <v>1909</v>
      </c>
      <c r="M14" s="544"/>
      <c r="N14" s="545">
        <f>IFERROR(O14/N5,"-")</f>
        <v>0</v>
      </c>
      <c r="O14" s="546">
        <f>SUM(M51:M65)</f>
        <v>0</v>
      </c>
      <c r="P14" s="473"/>
      <c r="Q14" s="547" t="s">
        <v>1910</v>
      </c>
      <c r="R14" s="565"/>
      <c r="S14" s="566"/>
      <c r="T14" s="574" t="b">
        <v>1</v>
      </c>
    </row>
    <row r="15" ht="19.5" customHeight="1">
      <c r="B15" s="575" t="s">
        <v>1911</v>
      </c>
      <c r="C15" s="576" t="b">
        <v>0</v>
      </c>
      <c r="D15" s="577"/>
      <c r="E15" s="554"/>
      <c r="F15" s="578"/>
      <c r="G15" s="473"/>
      <c r="H15" s="473"/>
      <c r="L15" s="551" t="s">
        <v>1912</v>
      </c>
      <c r="M15" s="544"/>
      <c r="N15" s="579">
        <f>IFERROR(O15/N5,"-")</f>
        <v>0</v>
      </c>
      <c r="O15" s="580">
        <f>SUM(M46)</f>
        <v>0</v>
      </c>
      <c r="P15" s="473"/>
      <c r="Q15" s="537" t="s">
        <v>1913</v>
      </c>
      <c r="R15" s="559"/>
      <c r="S15" s="571">
        <v>6.0</v>
      </c>
      <c r="T15" s="567"/>
    </row>
    <row r="16" ht="19.5" customHeight="1">
      <c r="B16" s="572" t="s">
        <v>1914</v>
      </c>
      <c r="C16" s="573" t="b">
        <v>1</v>
      </c>
      <c r="D16" s="581" t="b">
        <v>0</v>
      </c>
      <c r="E16" s="554"/>
      <c r="F16" s="473"/>
      <c r="G16" s="473"/>
      <c r="H16" s="582" t="s">
        <v>1915</v>
      </c>
      <c r="I16" s="583"/>
      <c r="J16" s="583"/>
      <c r="K16" s="583"/>
      <c r="L16" s="583"/>
      <c r="M16" s="584"/>
      <c r="N16" s="585" t="s">
        <v>572</v>
      </c>
      <c r="O16" s="586"/>
      <c r="P16" s="473"/>
      <c r="Q16" s="587" t="s">
        <v>1916</v>
      </c>
      <c r="R16" s="588"/>
      <c r="S16" s="589"/>
      <c r="T16" s="496"/>
    </row>
    <row r="17" ht="19.5" customHeight="1">
      <c r="B17" s="590" t="s">
        <v>1917</v>
      </c>
      <c r="C17" s="591" t="b">
        <v>0</v>
      </c>
      <c r="D17" s="592" t="s">
        <v>1918</v>
      </c>
      <c r="E17" s="554"/>
      <c r="F17" s="554"/>
      <c r="G17" s="473"/>
      <c r="H17" s="593"/>
      <c r="I17" s="594"/>
      <c r="J17" s="594"/>
      <c r="K17" s="594"/>
      <c r="L17" s="594"/>
      <c r="M17" s="595"/>
      <c r="N17" s="596" t="s">
        <v>1919</v>
      </c>
      <c r="O17" s="597">
        <f t="shared" ref="O17:O19" si="1">L126</f>
        <v>0</v>
      </c>
      <c r="P17" s="473"/>
      <c r="Q17" s="537" t="s">
        <v>1920</v>
      </c>
      <c r="R17" s="598"/>
      <c r="S17" s="599" t="s">
        <v>1921</v>
      </c>
      <c r="T17" s="600"/>
    </row>
    <row r="18" ht="19.5" customHeight="1">
      <c r="B18" s="601" t="s">
        <v>1922</v>
      </c>
      <c r="C18" s="602" t="s">
        <v>2297</v>
      </c>
      <c r="D18" s="603" t="s">
        <v>2298</v>
      </c>
      <c r="E18" s="554"/>
      <c r="F18" s="554"/>
      <c r="G18" s="473"/>
      <c r="H18" s="604" t="s">
        <v>1925</v>
      </c>
      <c r="I18" s="605" t="s">
        <v>1926</v>
      </c>
      <c r="J18" s="606" t="s">
        <v>78</v>
      </c>
      <c r="K18" s="607" t="s">
        <v>1927</v>
      </c>
      <c r="L18" s="606" t="s">
        <v>1928</v>
      </c>
      <c r="M18" s="608" t="s">
        <v>1929</v>
      </c>
      <c r="N18" s="573" t="s">
        <v>1919</v>
      </c>
      <c r="O18" s="609">
        <f t="shared" si="1"/>
        <v>0</v>
      </c>
      <c r="P18" s="473"/>
      <c r="Q18" s="610" t="s">
        <v>1930</v>
      </c>
      <c r="R18" s="254"/>
      <c r="S18" s="611" t="s">
        <v>1931</v>
      </c>
      <c r="T18" s="612"/>
    </row>
    <row r="19" ht="19.5" customHeight="1">
      <c r="B19" s="613"/>
      <c r="C19" s="486"/>
      <c r="D19" s="614"/>
      <c r="E19" s="554"/>
      <c r="F19" s="554"/>
      <c r="G19" s="473"/>
      <c r="H19" s="615" t="str">
        <f t="shared" ref="H19:H45" si="2">S98</f>
        <v>ЕШКА</v>
      </c>
      <c r="I19" s="616">
        <f t="shared" ref="I19:I45" si="3">L98</f>
        <v>17709</v>
      </c>
      <c r="J19" s="617" t="s">
        <v>1918</v>
      </c>
      <c r="K19" s="618">
        <v>1.0</v>
      </c>
      <c r="L19" s="619" t="b">
        <v>0</v>
      </c>
      <c r="M19" s="620">
        <f t="array" ref="M19">ROUND((CHOOSE(MATCH(LOWER(TRIM(J19)),{"ПАР";"ОБ.ПАР";"ТАЯНИЕ";"ОБ.ТАЯНИЕ";"ОБОСТР.";"РАЗРАСТ.";"НЕТ"}, 0), G98,G99,G100,G101,100%,100%,100%)*L98)*K19,0)</f>
        <v>17709</v>
      </c>
      <c r="N19" s="621" t="s">
        <v>1932</v>
      </c>
      <c r="O19" s="622">
        <f t="shared" si="1"/>
        <v>0</v>
      </c>
      <c r="P19" s="473"/>
      <c r="Q19" s="623" t="s">
        <v>1933</v>
      </c>
      <c r="R19" s="624"/>
      <c r="S19" s="625" t="s">
        <v>1934</v>
      </c>
      <c r="T19" s="626"/>
    </row>
    <row r="20" ht="19.5" customHeight="1">
      <c r="B20" s="473"/>
      <c r="C20" s="473"/>
      <c r="D20" s="473"/>
      <c r="E20" s="473"/>
      <c r="F20" s="473"/>
      <c r="G20" s="473"/>
      <c r="H20" s="627" t="str">
        <f t="shared" si="2"/>
        <v>ЕШКА</v>
      </c>
      <c r="I20" s="628">
        <f t="shared" si="3"/>
        <v>9884</v>
      </c>
      <c r="J20" s="629" t="s">
        <v>1918</v>
      </c>
      <c r="K20" s="630">
        <v>9.0</v>
      </c>
      <c r="L20" s="631" t="b">
        <v>0</v>
      </c>
      <c r="M20" s="632">
        <f t="array" ref="M20">ROUND((CHOOSE(MATCH(LOWER(TRIM(J20)),{"ПАР";"ОБ.ПАР";"ТАЯНИЕ";"ОБ.ТАЯНИЕ";"ОБОСТР.";"РАЗРАСТ.";"НЕТ"}, 0), G98,G99,G100,G101,100%,100%,100%)*I20)*K20,0)</f>
        <v>88956</v>
      </c>
      <c r="N20" s="473"/>
      <c r="O20" s="473"/>
      <c r="P20" s="473"/>
      <c r="Q20" s="587" t="s">
        <v>1935</v>
      </c>
      <c r="R20" s="633"/>
      <c r="S20" s="634" t="s">
        <v>1936</v>
      </c>
      <c r="T20" s="612"/>
    </row>
    <row r="21" ht="19.5" customHeight="1">
      <c r="B21" s="635" t="s">
        <v>1937</v>
      </c>
      <c r="C21" s="636"/>
      <c r="D21" s="636"/>
      <c r="E21" s="637"/>
      <c r="F21" s="473"/>
      <c r="G21" s="473"/>
      <c r="H21" s="627" t="str">
        <f t="shared" si="2"/>
        <v>ЕШКА</v>
      </c>
      <c r="I21" s="616">
        <f t="shared" si="3"/>
        <v>121202</v>
      </c>
      <c r="J21" s="638" t="s">
        <v>1918</v>
      </c>
      <c r="K21" s="639"/>
      <c r="L21" s="640" t="b">
        <v>0</v>
      </c>
      <c r="M21" s="641">
        <f t="array" ref="M21">ROUND((CHOOSE(MATCH(LOWER(TRIM(J21)),{"ПАР";"ОБ.ПАР";"ТАЯНИЕ";"ОБ.ТАЯНИЕ";"ОБОСТР.";"РАЗРАСТ.";"НЕТ"}, 0), G98,G99,G100,G101,100%,100%,100%)*I21)*K21,0)</f>
        <v>0</v>
      </c>
      <c r="N21" s="473"/>
      <c r="O21" s="642" t="s">
        <v>1938</v>
      </c>
      <c r="P21" s="643"/>
      <c r="Q21" s="644" t="s">
        <v>1939</v>
      </c>
      <c r="R21" s="645"/>
      <c r="S21" s="646" t="s">
        <v>1940</v>
      </c>
      <c r="T21" s="626"/>
    </row>
    <row r="22" ht="19.5" customHeight="1">
      <c r="B22" s="647"/>
      <c r="C22" s="648"/>
      <c r="D22" s="648"/>
      <c r="E22" s="649"/>
      <c r="F22" s="473"/>
      <c r="G22" s="473"/>
      <c r="H22" s="627" t="str">
        <f t="shared" si="2"/>
        <v>ЕШКА</v>
      </c>
      <c r="I22" s="628">
        <f t="shared" si="3"/>
        <v>16180</v>
      </c>
      <c r="J22" s="629" t="s">
        <v>1918</v>
      </c>
      <c r="K22" s="630"/>
      <c r="L22" s="631" t="b">
        <v>0</v>
      </c>
      <c r="M22" s="632">
        <f t="array" ref="M22">ROUND((CHOOSE(MATCH(LOWER(TRIM(J22)),{"ПАР";"ОБ.ПАР";"ТАЯНИЕ";"ОБ.ТАЯНИЕ";"ОБОСТР.";"РАЗРАСТ.";"НЕТ"}, 0), G98,G99,G100,G101,100%,100%,100%)*I22)*K22,0)</f>
        <v>0</v>
      </c>
      <c r="N22" s="473"/>
      <c r="O22" s="650" t="s">
        <v>1941</v>
      </c>
      <c r="P22" s="651"/>
      <c r="Q22" s="652" t="s">
        <v>1942</v>
      </c>
      <c r="R22" s="156"/>
      <c r="S22" s="653" t="s">
        <v>1943</v>
      </c>
      <c r="T22" s="654"/>
    </row>
    <row r="23" ht="19.5" customHeight="1">
      <c r="B23" s="655" t="s">
        <v>1944</v>
      </c>
      <c r="C23" s="544"/>
      <c r="D23" s="656">
        <f t="array" ref="D23">CHOOSE(MATCH(LOWER(TRIM(B23)),{"УРОВЕНЬ 90";"УРОВЕНЬ 80";"УРОВЕНЬ 95";"УРОВЕНЬ 100"}, 0), 90,80,95,100)</f>
        <v>90</v>
      </c>
      <c r="E23" s="657"/>
      <c r="F23" s="473"/>
      <c r="G23" s="473"/>
      <c r="H23" s="627" t="str">
        <f t="shared" si="2"/>
        <v>ЕШКА</v>
      </c>
      <c r="I23" s="616">
        <f t="shared" si="3"/>
        <v>203889</v>
      </c>
      <c r="J23" s="638" t="s">
        <v>1918</v>
      </c>
      <c r="K23" s="639">
        <v>3.0</v>
      </c>
      <c r="L23" s="640" t="b">
        <v>0</v>
      </c>
      <c r="M23" s="641">
        <f t="array" ref="M23">ROUND((CHOOSE(MATCH(LOWER(TRIM(J23)),{"ПАР";"ОБ.ПАР";"ТАЯНИЕ";"ОБ.ТАЯНИЕ";"ОБОСТР.";"РАЗРАСТ.";"НЕТ"}, 0), G98,G99,G100,G101,100%,100%,100%)*I23)*K23,0)</f>
        <v>611667</v>
      </c>
      <c r="N23" s="473"/>
      <c r="O23" s="658" t="s">
        <v>1945</v>
      </c>
      <c r="P23" s="659"/>
      <c r="Q23" s="644" t="s">
        <v>1946</v>
      </c>
      <c r="R23" s="660"/>
      <c r="S23" s="473"/>
      <c r="T23" s="473"/>
    </row>
    <row r="24" ht="19.5" customHeight="1">
      <c r="B24" s="661"/>
      <c r="C24" s="521"/>
      <c r="D24" s="662"/>
      <c r="E24" s="663"/>
      <c r="F24" s="473"/>
      <c r="G24" s="473"/>
      <c r="H24" s="627" t="str">
        <f t="shared" si="2"/>
        <v>ЗАР. УДАРЫ</v>
      </c>
      <c r="I24" s="628">
        <f t="shared" si="3"/>
        <v>0</v>
      </c>
      <c r="J24" s="629" t="s">
        <v>1918</v>
      </c>
      <c r="K24" s="630"/>
      <c r="L24" s="631" t="b">
        <v>0</v>
      </c>
      <c r="M24" s="632">
        <f t="array" ref="M24">ROUND((CHOOSE(MATCH(LOWER(TRIM(J24)),{"ПАР";"ОБ.ПАР";"ТАЯНИЕ";"ОБ.ТАЯНИЕ";"ОБОСТР.";"РАЗРАСТ.";"НЕТ"}, 0), G98,G99,G100,G101,100%,100%,100%)*I24)*K24,0)</f>
        <v>0</v>
      </c>
      <c r="N24" s="473"/>
      <c r="O24" s="650" t="s">
        <v>1947</v>
      </c>
      <c r="P24" s="651"/>
      <c r="Q24" s="652" t="s">
        <v>1948</v>
      </c>
      <c r="R24" s="664"/>
      <c r="S24" s="473"/>
      <c r="T24" s="473"/>
    </row>
    <row r="25" ht="19.5" customHeight="1">
      <c r="B25" s="665" t="s">
        <v>1949</v>
      </c>
      <c r="C25" s="662"/>
      <c r="D25" s="666">
        <v>96.0</v>
      </c>
      <c r="E25" s="667"/>
      <c r="F25" s="473"/>
      <c r="G25" s="473"/>
      <c r="H25" s="627" t="str">
        <f t="shared" si="2"/>
        <v>УЛЬТА</v>
      </c>
      <c r="I25" s="616">
        <f t="shared" si="3"/>
        <v>34123</v>
      </c>
      <c r="J25" s="638" t="s">
        <v>1918</v>
      </c>
      <c r="K25" s="639">
        <v>1.0</v>
      </c>
      <c r="L25" s="640" t="b">
        <v>0</v>
      </c>
      <c r="M25" s="641">
        <f t="array" ref="M25">ROUND((CHOOSE(MATCH(LOWER(TRIM(J25)),{"ПАР";"ОБ.ПАР";"ТАЯНИЕ";"ОБ.ТАЯНИЕ";"ОБОСТР.";"РАЗРАСТ.";"НЕТ"}, 0), G98,G99,G100,G101,100%,100%,100%)*I25)*K25,0)</f>
        <v>34123</v>
      </c>
      <c r="N25" s="473"/>
      <c r="O25" s="668" t="s">
        <v>1950</v>
      </c>
      <c r="P25" s="669"/>
      <c r="Q25" s="670" t="s">
        <v>1951</v>
      </c>
      <c r="R25" s="671"/>
      <c r="S25" s="473"/>
      <c r="T25" s="473"/>
    </row>
    <row r="26" ht="19.5" customHeight="1">
      <c r="B26" s="672" t="s">
        <v>1952</v>
      </c>
      <c r="C26" s="673">
        <v>14695.0</v>
      </c>
      <c r="D26" s="674" t="s">
        <v>1953</v>
      </c>
      <c r="E26" s="675">
        <v>515.0</v>
      </c>
      <c r="F26" s="473"/>
      <c r="G26" s="473"/>
      <c r="H26" s="627" t="str">
        <f t="shared" si="2"/>
        <v>УЛЬТА</v>
      </c>
      <c r="I26" s="628">
        <f t="shared" si="3"/>
        <v>0</v>
      </c>
      <c r="J26" s="629" t="s">
        <v>1918</v>
      </c>
      <c r="K26" s="630"/>
      <c r="L26" s="631" t="b">
        <v>0</v>
      </c>
      <c r="M26" s="632">
        <f t="array" ref="M26">ROUND((CHOOSE(MATCH(LOWER(TRIM(J26)),{"ПАР";"ОБ.ПАР";"ТАЯНИЕ";"ОБ.ТАЯНИЕ";"ОБОСТР.";"РАЗРАСТ.";"НЕТ"}, 0), G98,G99,G100,G101,100%,100%,100%)*I26)*K26,0)</f>
        <v>0</v>
      </c>
      <c r="N26" s="473"/>
      <c r="O26" s="473"/>
      <c r="P26" s="473"/>
      <c r="Q26" s="473"/>
      <c r="R26" s="473"/>
      <c r="S26" s="473"/>
      <c r="T26" s="473"/>
    </row>
    <row r="27" ht="19.5" customHeight="1">
      <c r="B27" s="676" t="s">
        <v>1954</v>
      </c>
      <c r="C27" s="677"/>
      <c r="D27" s="677"/>
      <c r="E27" s="678"/>
      <c r="F27" s="473"/>
      <c r="G27" s="473"/>
      <c r="H27" s="627" t="str">
        <f t="shared" si="2"/>
        <v>ЕШКА</v>
      </c>
      <c r="I27" s="616">
        <f t="shared" si="3"/>
        <v>0</v>
      </c>
      <c r="J27" s="638" t="s">
        <v>1918</v>
      </c>
      <c r="K27" s="639"/>
      <c r="L27" s="640" t="b">
        <v>0</v>
      </c>
      <c r="M27" s="641">
        <f t="array" ref="M27">ROUND((CHOOSE(MATCH(LOWER(TRIM(J27)),{"ПАР";"ОБ.ПАР";"ТАЯНИЕ";"ОБ.ТАЯНИЕ";"ОБОСТР.";"РАЗРАСТ.";"НЕТ"}, 0), G98,G99,G100,G101,100%,100%,100%)*I27)*K27,0)</f>
        <v>0</v>
      </c>
      <c r="N27" s="473"/>
      <c r="O27" s="679" t="s">
        <v>1955</v>
      </c>
      <c r="P27" s="680"/>
      <c r="Q27" s="681"/>
      <c r="R27" s="682" t="s">
        <v>1843</v>
      </c>
      <c r="S27" s="680"/>
      <c r="T27" s="681"/>
    </row>
    <row r="28" ht="19.5" customHeight="1">
      <c r="B28" s="683" t="s">
        <v>1956</v>
      </c>
      <c r="C28" s="684"/>
      <c r="D28" s="685" t="s">
        <v>1957</v>
      </c>
      <c r="E28" s="686"/>
      <c r="F28" s="473"/>
      <c r="G28" s="473"/>
      <c r="H28" s="627" t="str">
        <f t="shared" si="2"/>
        <v>УЛЬТА</v>
      </c>
      <c r="I28" s="628">
        <f t="shared" si="3"/>
        <v>0</v>
      </c>
      <c r="J28" s="629" t="s">
        <v>1918</v>
      </c>
      <c r="K28" s="630"/>
      <c r="L28" s="631" t="b">
        <v>0</v>
      </c>
      <c r="M28" s="632">
        <f t="array" ref="M28">ROUND((CHOOSE(MATCH(LOWER(TRIM(J28)),{"ПАР";"ОБ.ПАР";"ТАЯНИЕ";"ОБ.ТАЯНИЕ";"ОБОСТР.";"РАЗРАСТ.";"НЕТ"}, 0), G98,G99,G100,G101,100%,100%,100%)*I28)*K28,0)</f>
        <v>0</v>
      </c>
      <c r="N28" s="473"/>
      <c r="O28" s="687"/>
      <c r="P28" s="688"/>
      <c r="Q28" s="373"/>
      <c r="R28" s="688"/>
      <c r="S28" s="688"/>
      <c r="T28" s="373"/>
    </row>
    <row r="29" ht="19.5" customHeight="1">
      <c r="B29" s="689" t="s">
        <v>1889</v>
      </c>
      <c r="C29" s="690"/>
      <c r="D29" s="549" t="s">
        <v>1958</v>
      </c>
      <c r="E29" s="691"/>
      <c r="F29" s="473"/>
      <c r="G29" s="473"/>
      <c r="H29" s="627" t="str">
        <f t="shared" si="2"/>
        <v>УЛЬТА</v>
      </c>
      <c r="I29" s="616">
        <f t="shared" si="3"/>
        <v>0</v>
      </c>
      <c r="J29" s="638" t="s">
        <v>1918</v>
      </c>
      <c r="K29" s="639"/>
      <c r="L29" s="640" t="b">
        <v>0</v>
      </c>
      <c r="M29" s="641">
        <f t="array" ref="M29">ROUND((CHOOSE(MATCH(LOWER(TRIM(J29)),{"ПАР";"ОБ.ПАР";"ТАЯНИЕ";"ОБ.ТАЯНИЕ";"ОБОСТР.";"РАЗРАСТ.";"НЕТ"}, 0), G98,G99,G100,G101,100%,100%,100%)*I29)*K29,0)</f>
        <v>0</v>
      </c>
      <c r="N29" s="473"/>
      <c r="O29" s="692" t="s">
        <v>1959</v>
      </c>
      <c r="P29" s="565"/>
      <c r="Q29" s="693" t="s">
        <v>1884</v>
      </c>
      <c r="R29" s="548"/>
      <c r="S29" s="549" t="s">
        <v>1885</v>
      </c>
      <c r="T29" s="694"/>
    </row>
    <row r="30" ht="19.5" customHeight="1">
      <c r="B30" s="695" t="s">
        <v>1892</v>
      </c>
      <c r="C30" s="696"/>
      <c r="D30" s="697" t="s">
        <v>1960</v>
      </c>
      <c r="E30" s="698"/>
      <c r="F30" s="473"/>
      <c r="G30" s="473"/>
      <c r="H30" s="627" t="str">
        <f t="shared" si="2"/>
        <v>УНИК. УДАР</v>
      </c>
      <c r="I30" s="628">
        <f t="shared" si="3"/>
        <v>0</v>
      </c>
      <c r="J30" s="629" t="s">
        <v>1918</v>
      </c>
      <c r="K30" s="630"/>
      <c r="L30" s="631" t="b">
        <v>0</v>
      </c>
      <c r="M30" s="632">
        <f t="array" ref="M30">ROUND((CHOOSE(MATCH(LOWER(TRIM(J30)),{"ПАР";"ОБ.ПАР";"ТАЯНИЕ";"ОБ.ТАЯНИЕ";"ОБОСТР.";"РАЗРАСТ.";"НЕТ"}, 0), G98,G99,G100,G101,100%,100%,100%)*I30)*K30,0)</f>
        <v>0</v>
      </c>
      <c r="N30" s="473"/>
      <c r="O30" s="699" t="s">
        <v>1961</v>
      </c>
      <c r="P30" s="700"/>
      <c r="Q30" s="701" t="s">
        <v>1889</v>
      </c>
      <c r="R30" s="702"/>
      <c r="S30" s="703" t="s">
        <v>1890</v>
      </c>
      <c r="T30" s="704"/>
    </row>
    <row r="31" ht="19.5" customHeight="1">
      <c r="B31" s="705" t="s">
        <v>1962</v>
      </c>
      <c r="C31" s="706"/>
      <c r="D31" s="549" t="s">
        <v>1963</v>
      </c>
      <c r="E31" s="691"/>
      <c r="F31" s="515"/>
      <c r="G31" s="473"/>
      <c r="H31" s="627" t="str">
        <f t="shared" si="2"/>
        <v>УЛЬТА</v>
      </c>
      <c r="I31" s="616">
        <f t="shared" si="3"/>
        <v>0</v>
      </c>
      <c r="J31" s="638" t="s">
        <v>1918</v>
      </c>
      <c r="K31" s="639"/>
      <c r="L31" s="640" t="b">
        <v>0</v>
      </c>
      <c r="M31" s="641">
        <f t="array" ref="M31">ROUND((CHOOSE(MATCH(LOWER(TRIM(J31)),{"ПАР";"ОБ.ПАР";"ТАЯНИЕ";"ОБ.ТАЯНИЕ";"ОБОСТР.";"РАЗРАСТ.";"НЕТ"}, 0), G98,G99,G100,G101,100%,100%,100%)*I31)*K31,0)</f>
        <v>0</v>
      </c>
      <c r="N31" s="473"/>
      <c r="O31" s="692" t="s">
        <v>1964</v>
      </c>
      <c r="P31" s="707"/>
      <c r="Q31" s="693" t="s">
        <v>1892</v>
      </c>
      <c r="R31" s="548"/>
      <c r="S31" s="549" t="s">
        <v>1893</v>
      </c>
      <c r="T31" s="694"/>
    </row>
    <row r="32" ht="19.5" customHeight="1">
      <c r="B32" s="695" t="s">
        <v>1890</v>
      </c>
      <c r="C32" s="696">
        <v>19.2</v>
      </c>
      <c r="D32" s="697" t="s">
        <v>1965</v>
      </c>
      <c r="E32" s="698"/>
      <c r="F32" s="515"/>
      <c r="G32" s="473"/>
      <c r="H32" s="627" t="str">
        <f t="shared" si="2"/>
        <v>УНИК. УДАР</v>
      </c>
      <c r="I32" s="628">
        <f t="shared" si="3"/>
        <v>0</v>
      </c>
      <c r="J32" s="629" t="s">
        <v>1918</v>
      </c>
      <c r="K32" s="630"/>
      <c r="L32" s="631" t="b">
        <v>0</v>
      </c>
      <c r="M32" s="632">
        <f t="array" ref="M32">ROUND((CHOOSE(MATCH(LOWER(TRIM(J32)),{"ПАР";"ОБ.ПАР";"ТАЯНИЕ";"ОБ.ТАЯНИЕ";"ОБОСТР.";"РАЗРАСТ.";"НЕТ"}, 0), G98,G99,G100,G101,100%,100%,100%)*I32)*K32,0)</f>
        <v>0</v>
      </c>
      <c r="N32" s="473"/>
      <c r="O32" s="699" t="s">
        <v>1934</v>
      </c>
      <c r="P32" s="700"/>
      <c r="Q32" s="701" t="s">
        <v>1966</v>
      </c>
      <c r="R32" s="708"/>
      <c r="S32" s="703" t="s">
        <v>1967</v>
      </c>
      <c r="T32" s="709">
        <v>200.0</v>
      </c>
    </row>
    <row r="33" ht="19.5" customHeight="1">
      <c r="B33" s="689" t="s">
        <v>1968</v>
      </c>
      <c r="C33" s="690"/>
      <c r="D33" s="549" t="s">
        <v>1969</v>
      </c>
      <c r="E33" s="691"/>
      <c r="F33" s="515"/>
      <c r="G33" s="473"/>
      <c r="H33" s="627" t="str">
        <f t="shared" si="2"/>
        <v>УНИК. УДАР</v>
      </c>
      <c r="I33" s="616">
        <f t="shared" si="3"/>
        <v>0</v>
      </c>
      <c r="J33" s="638" t="s">
        <v>1918</v>
      </c>
      <c r="K33" s="639"/>
      <c r="L33" s="640" t="b">
        <v>0</v>
      </c>
      <c r="M33" s="641">
        <f t="array" ref="M33">ROUND((CHOOSE(MATCH(LOWER(TRIM(J33)),{"ПАР";"ОБ.ПАР";"ТАЯНИЕ";"ОБ.ТАЯНИЕ";"ОБОСТР.";"РАЗРАСТ.";"НЕТ"}, 0), G98,G99,G100,G101,100%,100%,100%)*I33)*K33,0)</f>
        <v>0</v>
      </c>
      <c r="N33" s="515"/>
      <c r="O33" s="692" t="s">
        <v>1970</v>
      </c>
      <c r="P33" s="707">
        <v>100.0</v>
      </c>
      <c r="Q33" s="710" t="s">
        <v>1971</v>
      </c>
      <c r="R33" s="711">
        <v>4780.0</v>
      </c>
      <c r="S33" s="712" t="s">
        <v>1972</v>
      </c>
      <c r="T33" s="713">
        <v>311.0</v>
      </c>
    </row>
    <row r="34" ht="19.5" customHeight="1">
      <c r="B34" s="695" t="s">
        <v>1967</v>
      </c>
      <c r="C34" s="714"/>
      <c r="D34" s="697" t="s">
        <v>1973</v>
      </c>
      <c r="E34" s="698"/>
      <c r="F34" s="473"/>
      <c r="G34" s="473"/>
      <c r="H34" s="627" t="str">
        <f t="shared" si="2"/>
        <v>УНИК. УДАР</v>
      </c>
      <c r="I34" s="628">
        <f t="shared" si="3"/>
        <v>0</v>
      </c>
      <c r="J34" s="629" t="s">
        <v>1918</v>
      </c>
      <c r="K34" s="630"/>
      <c r="L34" s="631" t="b">
        <v>0</v>
      </c>
      <c r="M34" s="632">
        <f t="array" ref="M34">ROUND((CHOOSE(MATCH(LOWER(TRIM(J34)),{"ПАР";"ОБ.ПАР";"ТАЯНИЕ";"ОБ.ТАЯНИЕ";"ОБОСТР.";"РАЗРАСТ.";"НЕТ"}, 0), G98,G99,G100,G101,100%,100%,100%)*I34)*K34,0)</f>
        <v>0</v>
      </c>
      <c r="N34" s="473"/>
      <c r="O34" s="699" t="s">
        <v>1974</v>
      </c>
      <c r="P34" s="700"/>
      <c r="Q34" s="715" t="s">
        <v>1975</v>
      </c>
      <c r="R34" s="716"/>
      <c r="S34" s="717" t="s">
        <v>1897</v>
      </c>
      <c r="T34" s="294"/>
    </row>
    <row r="35" ht="19.5" customHeight="1">
      <c r="B35" s="718" t="s">
        <v>1933</v>
      </c>
      <c r="C35" s="719"/>
      <c r="D35" s="720" t="s">
        <v>1896</v>
      </c>
      <c r="E35" s="721"/>
      <c r="F35" s="473"/>
      <c r="G35" s="473"/>
      <c r="H35" s="627" t="str">
        <f t="shared" si="2"/>
        <v>УНИК. УДАР</v>
      </c>
      <c r="I35" s="616">
        <f t="shared" si="3"/>
        <v>0</v>
      </c>
      <c r="J35" s="638" t="s">
        <v>1918</v>
      </c>
      <c r="K35" s="639"/>
      <c r="L35" s="640" t="b">
        <v>0</v>
      </c>
      <c r="M35" s="641">
        <f t="array" ref="M35">ROUND((CHOOSE(MATCH(LOWER(TRIM(J35)),{"ПАР";"ОБ.ПАР";"ТАЯНИЕ";"ОБ.ТАЯНИЕ";"ОБОСТР.";"РАЗРАСТ.";"НЕТ"}, 0), G98,G99,G100,G101,100%,100%,100%)*I35)*K35,0)</f>
        <v>0</v>
      </c>
      <c r="N35" s="473"/>
      <c r="O35" s="692" t="s">
        <v>1976</v>
      </c>
      <c r="P35" s="707"/>
      <c r="Q35" s="701" t="s">
        <v>1896</v>
      </c>
      <c r="R35" s="722"/>
      <c r="S35" s="723">
        <v>5.0</v>
      </c>
      <c r="T35" s="724" t="b">
        <v>1</v>
      </c>
    </row>
    <row r="36" ht="19.5" customHeight="1">
      <c r="B36" s="725"/>
      <c r="C36" s="473"/>
      <c r="D36" s="473"/>
      <c r="E36" s="473"/>
      <c r="F36" s="473"/>
      <c r="G36" s="473"/>
      <c r="H36" s="627" t="str">
        <f t="shared" si="2"/>
        <v>УНИК. УДАР</v>
      </c>
      <c r="I36" s="628">
        <f t="shared" si="3"/>
        <v>0</v>
      </c>
      <c r="J36" s="629" t="s">
        <v>1918</v>
      </c>
      <c r="K36" s="630"/>
      <c r="L36" s="631" t="b">
        <v>0</v>
      </c>
      <c r="M36" s="632">
        <f t="array" ref="M36">ROUND((CHOOSE(MATCH(LOWER(TRIM(J36)),{"ПАР";"ОБ.ПАР";"ТАЯНИЕ";"ОБ.ТАЯНИЕ";"ОБОСТР.";"РАЗРАСТ.";"НЕТ"}, 0), G98,G99,G100,G101,100%,100%,100%)*I36)*K36,0)</f>
        <v>0</v>
      </c>
      <c r="N36" s="473"/>
      <c r="O36" s="699" t="s">
        <v>1943</v>
      </c>
      <c r="P36" s="700"/>
      <c r="Q36" s="693" t="s">
        <v>1899</v>
      </c>
      <c r="R36" s="565"/>
      <c r="S36" s="726"/>
      <c r="T36" s="294"/>
    </row>
    <row r="37" ht="19.5" customHeight="1">
      <c r="B37" s="727" t="s">
        <v>1977</v>
      </c>
      <c r="C37" s="728"/>
      <c r="D37" s="729"/>
      <c r="E37" s="727" t="s">
        <v>53</v>
      </c>
      <c r="F37" s="729"/>
      <c r="G37" s="473"/>
      <c r="H37" s="627" t="str">
        <f t="shared" si="2"/>
        <v>УНИК. УДАР</v>
      </c>
      <c r="I37" s="616">
        <f t="shared" si="3"/>
        <v>0</v>
      </c>
      <c r="J37" s="638" t="s">
        <v>1918</v>
      </c>
      <c r="K37" s="639"/>
      <c r="L37" s="640" t="b">
        <v>0</v>
      </c>
      <c r="M37" s="641">
        <f t="array" ref="M37">ROUND((CHOOSE(MATCH(LOWER(TRIM(J37)),{"ПАР";"ОБ.ПАР";"ТАЯНИЕ";"ОБ.ТАЯНИЕ";"ОБОСТР.";"РАЗРАСТ.";"НЕТ"}, 0), G98,G99,G100,G101,100%,100%,100%)*I37)*K37,0)</f>
        <v>0</v>
      </c>
      <c r="N37" s="473"/>
      <c r="O37" s="692" t="s">
        <v>1978</v>
      </c>
      <c r="P37" s="707">
        <v>100.0</v>
      </c>
      <c r="Q37" s="701" t="s">
        <v>1903</v>
      </c>
      <c r="R37" s="722"/>
      <c r="S37" s="730" t="s">
        <v>1979</v>
      </c>
      <c r="T37" s="731" t="b">
        <v>1</v>
      </c>
    </row>
    <row r="38" ht="19.5" customHeight="1">
      <c r="B38" s="732"/>
      <c r="C38" s="733"/>
      <c r="D38" s="734"/>
      <c r="E38" s="732"/>
      <c r="F38" s="734"/>
      <c r="G38" s="473"/>
      <c r="H38" s="627" t="str">
        <f t="shared" si="2"/>
        <v>УНИК. УДАР</v>
      </c>
      <c r="I38" s="628">
        <f t="shared" si="3"/>
        <v>0</v>
      </c>
      <c r="J38" s="629" t="s">
        <v>1918</v>
      </c>
      <c r="K38" s="630"/>
      <c r="L38" s="631" t="b">
        <v>0</v>
      </c>
      <c r="M38" s="632">
        <f t="array" ref="M38">ROUND((CHOOSE(MATCH(LOWER(TRIM(J38)),{"ПАР";"ОБ.ПАР";"ТАЯНИЕ";"ОБ.ТАЯНИЕ";"ОБОСТР.";"РАЗРАСТ.";"НЕТ"}, 0), G98,G99,G100,G101,100%,100%,100%)*I38)*K38,0)</f>
        <v>0</v>
      </c>
      <c r="N38" s="473"/>
      <c r="O38" s="699" t="s">
        <v>1980</v>
      </c>
      <c r="P38" s="700"/>
      <c r="Q38" s="693" t="s">
        <v>1907</v>
      </c>
      <c r="R38" s="565"/>
      <c r="S38" s="735" t="s">
        <v>1981</v>
      </c>
      <c r="T38" s="294"/>
    </row>
    <row r="39" ht="19.5" customHeight="1">
      <c r="B39" s="736" t="s">
        <v>1982</v>
      </c>
      <c r="D39" s="737" t="b">
        <v>1</v>
      </c>
      <c r="E39" s="736" t="s">
        <v>553</v>
      </c>
      <c r="F39" s="737" t="b">
        <v>0</v>
      </c>
      <c r="G39" s="473"/>
      <c r="H39" s="627" t="str">
        <f t="shared" si="2"/>
        <v>УНИК. УДАР</v>
      </c>
      <c r="I39" s="616">
        <f t="shared" si="3"/>
        <v>0</v>
      </c>
      <c r="J39" s="638" t="s">
        <v>1918</v>
      </c>
      <c r="K39" s="639"/>
      <c r="L39" s="640" t="b">
        <v>0</v>
      </c>
      <c r="M39" s="641">
        <f t="array" ref="M39">ROUND((CHOOSE(MATCH(LOWER(TRIM(J39)),{"ПАР";"ОБ.ПАР";"ТАЯНИЕ";"ОБ.ТАЯНИЕ";"ОБОСТР.";"РАЗРАСТ.";"НЕТ"}, 0), G98,G99,G100,G101,100%,100%,100%)*I39)*K39,0)</f>
        <v>0</v>
      </c>
      <c r="N39" s="473"/>
      <c r="O39" s="692" t="s">
        <v>1983</v>
      </c>
      <c r="P39" s="707"/>
      <c r="Q39" s="701" t="s">
        <v>1910</v>
      </c>
      <c r="R39" s="722"/>
      <c r="S39" s="687"/>
      <c r="T39" s="373"/>
    </row>
    <row r="40" ht="19.5" customHeight="1">
      <c r="B40" s="738"/>
      <c r="D40" s="739"/>
      <c r="E40" s="738"/>
      <c r="F40" s="739"/>
      <c r="G40" s="473"/>
      <c r="H40" s="627" t="str">
        <f t="shared" si="2"/>
        <v>УНИК. УДАР</v>
      </c>
      <c r="I40" s="628">
        <f t="shared" si="3"/>
        <v>0</v>
      </c>
      <c r="J40" s="629" t="s">
        <v>1918</v>
      </c>
      <c r="K40" s="630"/>
      <c r="L40" s="631" t="b">
        <v>0</v>
      </c>
      <c r="M40" s="632">
        <f t="array" ref="M40">ROUND((CHOOSE(MATCH(LOWER(TRIM(J40)),{"ПАР";"ОБ.ПАР";"ТАЯНИЕ";"ОБ.ТАЯНИЕ";"ОБОСТР.";"РАЗРАСТ.";"НЕТ"}, 0), G98,G99,G100,G101,100%,100%,100%)*I40)*K40,0)</f>
        <v>0</v>
      </c>
      <c r="N40" s="473"/>
      <c r="O40" s="699" t="s">
        <v>1984</v>
      </c>
      <c r="P40" s="700"/>
      <c r="Q40" s="740" t="s">
        <v>1913</v>
      </c>
      <c r="R40" s="741"/>
      <c r="S40" s="742" t="s">
        <v>1985</v>
      </c>
      <c r="T40" s="294"/>
    </row>
    <row r="41" ht="19.5" customHeight="1">
      <c r="B41" s="743" t="s">
        <v>1986</v>
      </c>
      <c r="D41" s="744" t="b">
        <v>1</v>
      </c>
      <c r="E41" s="743" t="s">
        <v>554</v>
      </c>
      <c r="F41" s="744" t="b">
        <v>0</v>
      </c>
      <c r="G41" s="473"/>
      <c r="H41" s="627" t="str">
        <f t="shared" si="2"/>
        <v>УНИК. УДАР</v>
      </c>
      <c r="I41" s="616">
        <f t="shared" si="3"/>
        <v>0</v>
      </c>
      <c r="J41" s="638" t="s">
        <v>1918</v>
      </c>
      <c r="K41" s="639"/>
      <c r="L41" s="640" t="b">
        <v>0</v>
      </c>
      <c r="M41" s="641">
        <f t="array" ref="M41">ROUND((CHOOSE(MATCH(LOWER(TRIM(J41)),{"ПАР";"ОБ.ПАР";"ТАЯНИЕ";"ОБ.ТАЯНИЕ";"ОБОСТР.";"РАЗРАСТ.";"НЕТ"}, 0), G98,G99,G100,G101,100%,100%,100%)*I41)*K41,0)</f>
        <v>0</v>
      </c>
      <c r="N41" s="473"/>
      <c r="O41" s="692" t="s">
        <v>1987</v>
      </c>
      <c r="P41" s="565"/>
      <c r="Q41" s="701" t="s">
        <v>1963</v>
      </c>
      <c r="R41" s="704"/>
      <c r="S41" s="687"/>
      <c r="T41" s="373"/>
    </row>
    <row r="42" ht="19.5" customHeight="1">
      <c r="B42" s="738"/>
      <c r="D42" s="739"/>
      <c r="E42" s="738"/>
      <c r="F42" s="739"/>
      <c r="G42" s="473"/>
      <c r="H42" s="627" t="str">
        <f t="shared" si="2"/>
        <v>УНИК. УДАР</v>
      </c>
      <c r="I42" s="628">
        <f t="shared" si="3"/>
        <v>0</v>
      </c>
      <c r="J42" s="629" t="s">
        <v>1918</v>
      </c>
      <c r="K42" s="630"/>
      <c r="L42" s="631" t="b">
        <v>0</v>
      </c>
      <c r="M42" s="632">
        <f t="array" ref="M42">ROUND((CHOOSE(MATCH(LOWER(TRIM(J42)),{"ПАР";"ОБ.ПАР";"ТАЯНИЕ";"ОБ.ТАЯНИЕ";"ОБОСТР.";"РАЗРАСТ.";"НЕТ"}, 0), G98,G99,G100,G101,100%,100%,100%)*I42)*K42,0)</f>
        <v>0</v>
      </c>
      <c r="N42" s="473"/>
      <c r="O42" s="745" t="s">
        <v>1988</v>
      </c>
      <c r="P42" s="746"/>
      <c r="Q42" s="693" t="s">
        <v>1957</v>
      </c>
      <c r="R42" s="565"/>
      <c r="S42" s="747" t="s">
        <v>1989</v>
      </c>
      <c r="T42" s="748"/>
    </row>
    <row r="43" ht="19.5" customHeight="1">
      <c r="B43" s="736" t="s">
        <v>1990</v>
      </c>
      <c r="D43" s="737" t="b">
        <v>1</v>
      </c>
      <c r="E43" s="736" t="s">
        <v>555</v>
      </c>
      <c r="F43" s="737" t="b">
        <v>0</v>
      </c>
      <c r="G43" s="473"/>
      <c r="H43" s="627" t="str">
        <f t="shared" si="2"/>
        <v>УНИК. УДАР</v>
      </c>
      <c r="I43" s="616">
        <f t="shared" si="3"/>
        <v>0</v>
      </c>
      <c r="J43" s="638" t="s">
        <v>1918</v>
      </c>
      <c r="K43" s="639"/>
      <c r="L43" s="640" t="b">
        <v>0</v>
      </c>
      <c r="M43" s="641">
        <f t="array" ref="M43">ROUND((CHOOSE(MATCH(LOWER(TRIM(J43)),{"ПАР";"ОБ.ПАР";"ТАЯНИЕ";"ОБ.ТАЯНИЕ";"ОБОСТР.";"РАЗРАСТ.";"НЕТ"}, 0), G98,G99,G100,G101,100%,100%,100%)*I43)*K43,0)</f>
        <v>0</v>
      </c>
      <c r="N43" s="473"/>
      <c r="O43" s="473"/>
      <c r="P43" s="515"/>
      <c r="Q43" s="701" t="s">
        <v>1958</v>
      </c>
      <c r="R43" s="704"/>
      <c r="S43" s="749" t="s">
        <v>2299</v>
      </c>
      <c r="T43" s="681"/>
    </row>
    <row r="44" ht="19.5" customHeight="1">
      <c r="B44" s="738"/>
      <c r="D44" s="739"/>
      <c r="E44" s="738"/>
      <c r="F44" s="739"/>
      <c r="G44" s="473"/>
      <c r="H44" s="627" t="str">
        <f t="shared" si="2"/>
        <v>УНИК. УДАР</v>
      </c>
      <c r="I44" s="628">
        <f t="shared" si="3"/>
        <v>0</v>
      </c>
      <c r="J44" s="629" t="s">
        <v>1918</v>
      </c>
      <c r="K44" s="630"/>
      <c r="L44" s="631" t="b">
        <v>0</v>
      </c>
      <c r="M44" s="632">
        <f t="array" ref="M44">ROUND((CHOOSE(MATCH(LOWER(TRIM(J44)),{"ПАР";"ОБ.ПАР";"ТАЯНИЕ";"ОБ.ТАЯНИЕ";"ОБОСТР.";"РАЗРАСТ.";"НЕТ"}, 0), G98,G99,G100,G101,100%,100%,100%)*I44)*K44,0)</f>
        <v>0</v>
      </c>
      <c r="N44" s="473"/>
      <c r="O44" s="473"/>
      <c r="P44" s="515"/>
      <c r="Q44" s="693" t="s">
        <v>1960</v>
      </c>
      <c r="R44" s="694"/>
      <c r="S44" s="687"/>
      <c r="T44" s="373"/>
    </row>
    <row r="45" ht="19.5" customHeight="1">
      <c r="B45" s="743" t="s">
        <v>1992</v>
      </c>
      <c r="D45" s="744" t="b">
        <v>1</v>
      </c>
      <c r="E45" s="743" t="s">
        <v>556</v>
      </c>
      <c r="F45" s="744" t="b">
        <v>0</v>
      </c>
      <c r="G45" s="473"/>
      <c r="H45" s="627" t="str">
        <f t="shared" si="2"/>
        <v>УНИК. УДАР</v>
      </c>
      <c r="I45" s="616">
        <f t="shared" si="3"/>
        <v>0</v>
      </c>
      <c r="J45" s="638" t="s">
        <v>1918</v>
      </c>
      <c r="K45" s="639"/>
      <c r="L45" s="640" t="b">
        <v>0</v>
      </c>
      <c r="M45" s="641">
        <f t="array" ref="M45">ROUND((CHOOSE(MATCH(LOWER(TRIM(J45)),{"ПАР";"ОБ.ПАР";"ТАЯНИЕ";"ОБ.ТАЯНИЕ";"ОБОСТР.";"РАЗРАСТ.";"НЕТ"}, 0), G98,G99,G100,G101,100%,100%,100%)*I45)*K45,0)</f>
        <v>0</v>
      </c>
      <c r="N45" s="473"/>
      <c r="O45" s="473"/>
      <c r="P45" s="515"/>
      <c r="Q45" s="701" t="s">
        <v>1965</v>
      </c>
      <c r="R45" s="722"/>
      <c r="S45" s="747" t="s">
        <v>1993</v>
      </c>
      <c r="T45" s="748"/>
    </row>
    <row r="46" ht="19.5" customHeight="1">
      <c r="B46" s="732"/>
      <c r="C46" s="733"/>
      <c r="D46" s="734"/>
      <c r="E46" s="738"/>
      <c r="F46" s="739"/>
      <c r="G46" s="473"/>
      <c r="H46" s="750" t="str">
        <f>P125</f>
        <v>ПРОЧЕЕ</v>
      </c>
      <c r="I46" s="751">
        <f>J125</f>
        <v>0</v>
      </c>
      <c r="J46" s="752" t="s">
        <v>1918</v>
      </c>
      <c r="K46" s="753"/>
      <c r="L46" s="754"/>
      <c r="M46" s="755">
        <f t="array" ref="M46">ROUND((CHOOSE(MATCH(LOWER(TRIM(J46)),{"ПАР";"ОБ.ПАР";"ТАЯНИЕ";"ОБ.ТАЯНИЕ";"ОБОСТР.";"РАЗРАСТ.";"НЕТ"}, 0), G98,G99,G100,G101,100%,100%,100%)*I46)*K46,0)</f>
        <v>0</v>
      </c>
      <c r="N46" s="473"/>
      <c r="O46" s="473"/>
      <c r="P46" s="515"/>
      <c r="Q46" s="693" t="s">
        <v>1969</v>
      </c>
      <c r="R46" s="694"/>
      <c r="S46" s="749" t="s">
        <v>2299</v>
      </c>
      <c r="T46" s="681"/>
    </row>
    <row r="47" ht="19.5" customHeight="1">
      <c r="B47" s="756" t="s">
        <v>570</v>
      </c>
      <c r="C47" s="757" t="s">
        <v>571</v>
      </c>
      <c r="D47" s="758" t="s">
        <v>1883</v>
      </c>
      <c r="E47" s="736" t="s">
        <v>557</v>
      </c>
      <c r="F47" s="737" t="b">
        <v>0</v>
      </c>
      <c r="G47" s="473"/>
      <c r="H47" s="473"/>
      <c r="I47" s="473"/>
      <c r="J47" s="473"/>
      <c r="K47" s="473"/>
      <c r="L47" s="473"/>
      <c r="M47" s="473"/>
      <c r="N47" s="473"/>
      <c r="O47" s="473"/>
      <c r="P47" s="515"/>
      <c r="Q47" s="759" t="s">
        <v>1973</v>
      </c>
      <c r="R47" s="760"/>
      <c r="S47" s="687"/>
      <c r="T47" s="373"/>
    </row>
    <row r="48" ht="19.5" customHeight="1">
      <c r="B48" s="761"/>
      <c r="C48" s="762"/>
      <c r="D48" s="763" t="str">
        <f>IFERROR(C48/C48,"-")</f>
        <v>-</v>
      </c>
      <c r="E48" s="738"/>
      <c r="F48" s="739"/>
      <c r="G48" s="473"/>
      <c r="H48" s="473"/>
      <c r="I48" s="764" t="s">
        <v>1995</v>
      </c>
      <c r="J48" s="765"/>
      <c r="K48" s="765"/>
      <c r="L48" s="765"/>
      <c r="M48" s="766"/>
      <c r="N48" s="473"/>
      <c r="O48" s="767" t="s">
        <v>1996</v>
      </c>
      <c r="P48" s="768">
        <f t="array" ref="P48">((R53+T30+CHOOSE(MATCH(LOWER(TRIM(S49)),{"ШК%";"КУ%";"СА%";"ХП%";"ЗЩ%";"БОНУС ЛЕЧЕНИЕ";"МС";"НЕТ"}, 0), 31.1,0,0,0,0,0,0,0))*2)+
(R52+T29+ CHOOSE(MATCH(LOWER(TRIM(S49)),{"ШК%";"КУ%";"СА%";"ХП%";"ЗЩ%";"БОНУС ЛЕЧЕНИЕ";"МС";"НЕТ"}, 0), 0,62.2,0,0,0,0,0,0))</f>
        <v>220.1</v>
      </c>
      <c r="Q48" s="769" t="s">
        <v>1933</v>
      </c>
      <c r="R48" s="556"/>
      <c r="S48" s="747" t="s">
        <v>1997</v>
      </c>
      <c r="T48" s="748"/>
    </row>
    <row r="49" ht="19.5" customHeight="1">
      <c r="B49" s="770"/>
      <c r="C49" s="771"/>
      <c r="D49" s="772" t="str">
        <f>IFERROR(C49/C48,"-")</f>
        <v>-</v>
      </c>
      <c r="E49" s="743" t="s">
        <v>411</v>
      </c>
      <c r="F49" s="744" t="b">
        <v>0</v>
      </c>
      <c r="G49" s="473"/>
      <c r="H49" s="473"/>
      <c r="I49" s="773"/>
      <c r="J49" s="774"/>
      <c r="K49" s="774"/>
      <c r="L49" s="774"/>
      <c r="M49" s="775"/>
      <c r="N49" s="473"/>
      <c r="O49" s="776"/>
      <c r="P49" s="373"/>
      <c r="Q49" s="701" t="s">
        <v>1935</v>
      </c>
      <c r="R49" s="704"/>
      <c r="S49" s="749" t="s">
        <v>1998</v>
      </c>
      <c r="T49" s="681"/>
    </row>
    <row r="50" ht="19.5" customHeight="1">
      <c r="B50" s="761"/>
      <c r="C50" s="762"/>
      <c r="D50" s="763" t="str">
        <f>IFERROR(C50/C48,"-")</f>
        <v>-</v>
      </c>
      <c r="E50" s="732"/>
      <c r="F50" s="734"/>
      <c r="G50" s="473"/>
      <c r="H50" s="473"/>
      <c r="I50" s="777" t="s">
        <v>78</v>
      </c>
      <c r="J50" s="778" t="s">
        <v>571</v>
      </c>
      <c r="K50" s="779" t="s">
        <v>1927</v>
      </c>
      <c r="L50" s="778" t="s">
        <v>1928</v>
      </c>
      <c r="M50" s="780" t="s">
        <v>1929</v>
      </c>
      <c r="N50" s="473"/>
      <c r="O50" s="781" t="s">
        <v>1999</v>
      </c>
      <c r="P50" s="680"/>
      <c r="Q50" s="680"/>
      <c r="R50" s="681"/>
      <c r="S50" s="687"/>
      <c r="T50" s="373"/>
    </row>
    <row r="51" ht="19.5" customHeight="1">
      <c r="B51" s="770"/>
      <c r="C51" s="771"/>
      <c r="D51" s="772" t="str">
        <f>IFERROR(C51/C48,"-")</f>
        <v>-</v>
      </c>
      <c r="E51" s="473"/>
      <c r="F51" s="473"/>
      <c r="G51" s="473"/>
      <c r="H51" s="473"/>
      <c r="I51" s="782" t="s">
        <v>2000</v>
      </c>
      <c r="J51" s="783">
        <f t="shared" ref="J51:J54" si="4">F104</f>
        <v>0</v>
      </c>
      <c r="K51" s="784"/>
      <c r="L51" s="783" t="s">
        <v>14</v>
      </c>
      <c r="M51" s="785">
        <f t="shared" ref="M51:M65" si="5">J51*K51</f>
        <v>0</v>
      </c>
      <c r="N51" s="473"/>
      <c r="O51" s="687"/>
      <c r="P51" s="688"/>
      <c r="Q51" s="688"/>
      <c r="R51" s="373"/>
      <c r="S51" s="786"/>
      <c r="T51" s="786"/>
    </row>
    <row r="52" ht="19.5" customHeight="1">
      <c r="B52" s="761"/>
      <c r="C52" s="762"/>
      <c r="D52" s="763" t="str">
        <f>IFERROR(C52/C48,"-")</f>
        <v>-</v>
      </c>
      <c r="E52" s="473"/>
      <c r="F52" s="787" t="s">
        <v>68</v>
      </c>
      <c r="G52" s="788" t="s">
        <v>1928</v>
      </c>
      <c r="H52" s="473"/>
      <c r="I52" s="813" t="s">
        <v>2010</v>
      </c>
      <c r="J52" s="629">
        <f t="shared" si="4"/>
        <v>7561</v>
      </c>
      <c r="K52" s="630"/>
      <c r="L52" s="629" t="s">
        <v>14</v>
      </c>
      <c r="M52" s="814">
        <f t="shared" si="5"/>
        <v>0</v>
      </c>
      <c r="N52" s="473"/>
      <c r="O52" s="693" t="s">
        <v>1884</v>
      </c>
      <c r="P52" s="794" t="s">
        <v>2002</v>
      </c>
      <c r="Q52" s="549" t="s">
        <v>1885</v>
      </c>
      <c r="R52" s="795" t="s">
        <v>2003</v>
      </c>
      <c r="S52" s="796" t="s">
        <v>2004</v>
      </c>
      <c r="T52" s="797"/>
    </row>
    <row r="53" ht="19.5" customHeight="1">
      <c r="B53" s="770"/>
      <c r="C53" s="771"/>
      <c r="D53" s="772" t="str">
        <f>IFERROR(C53/C48,"-")</f>
        <v>-</v>
      </c>
      <c r="E53" s="473"/>
      <c r="F53" s="798" t="s">
        <v>2005</v>
      </c>
      <c r="G53" s="799" t="b">
        <v>0</v>
      </c>
      <c r="H53" s="473"/>
      <c r="I53" s="815" t="s">
        <v>2014</v>
      </c>
      <c r="J53" s="816">
        <f t="shared" si="4"/>
        <v>11341</v>
      </c>
      <c r="K53" s="817"/>
      <c r="L53" s="816" t="s">
        <v>14</v>
      </c>
      <c r="M53" s="818">
        <f t="shared" si="5"/>
        <v>0</v>
      </c>
      <c r="N53" s="473"/>
      <c r="O53" s="701" t="s">
        <v>1892</v>
      </c>
      <c r="P53" s="805" t="s">
        <v>2007</v>
      </c>
      <c r="Q53" s="703" t="s">
        <v>1890</v>
      </c>
      <c r="R53" s="806" t="s">
        <v>2008</v>
      </c>
      <c r="S53" s="807"/>
      <c r="T53" s="807"/>
    </row>
    <row r="54" ht="19.5" customHeight="1">
      <c r="B54" s="808"/>
      <c r="C54" s="809"/>
      <c r="D54" s="810" t="str">
        <f>IFERROR(C54/C48,"-")</f>
        <v>-</v>
      </c>
      <c r="E54" s="473"/>
      <c r="F54" s="811" t="s">
        <v>2009</v>
      </c>
      <c r="G54" s="812" t="b">
        <v>0</v>
      </c>
      <c r="H54" s="473"/>
      <c r="I54" s="813" t="s">
        <v>2019</v>
      </c>
      <c r="J54" s="629">
        <f t="shared" si="4"/>
        <v>11341</v>
      </c>
      <c r="K54" s="630"/>
      <c r="L54" s="629" t="s">
        <v>14</v>
      </c>
      <c r="M54" s="823">
        <f t="shared" si="5"/>
        <v>0</v>
      </c>
      <c r="N54" s="473"/>
      <c r="O54" s="693" t="s">
        <v>1889</v>
      </c>
      <c r="P54" s="794" t="s">
        <v>2002</v>
      </c>
      <c r="Q54" s="549" t="s">
        <v>1893</v>
      </c>
      <c r="R54" s="795" t="s">
        <v>2011</v>
      </c>
      <c r="S54" s="796" t="s">
        <v>2012</v>
      </c>
      <c r="T54" s="797"/>
    </row>
    <row r="55" ht="19.5" customHeight="1">
      <c r="B55" s="473"/>
      <c r="C55" s="473"/>
      <c r="D55" s="473"/>
      <c r="E55" s="473"/>
      <c r="F55" s="798" t="s">
        <v>2013</v>
      </c>
      <c r="G55" s="799" t="b">
        <v>0</v>
      </c>
      <c r="H55" s="473"/>
      <c r="I55" s="815" t="s">
        <v>2023</v>
      </c>
      <c r="J55" s="816">
        <f>D108</f>
        <v>7561</v>
      </c>
      <c r="K55" s="817"/>
      <c r="L55" s="816" t="s">
        <v>14</v>
      </c>
      <c r="M55" s="818">
        <f t="shared" si="5"/>
        <v>0</v>
      </c>
      <c r="N55" s="473"/>
      <c r="O55" s="701" t="s">
        <v>2015</v>
      </c>
      <c r="P55" s="708">
        <v>837.0</v>
      </c>
      <c r="Q55" s="703" t="s">
        <v>2016</v>
      </c>
      <c r="R55" s="819">
        <v>38.0</v>
      </c>
      <c r="S55" s="807"/>
      <c r="T55" s="807"/>
    </row>
    <row r="56" ht="19.5" customHeight="1">
      <c r="B56" s="820" t="s">
        <v>2017</v>
      </c>
      <c r="C56" s="821"/>
      <c r="D56" s="821"/>
      <c r="E56" s="822"/>
      <c r="F56" s="811" t="s">
        <v>2018</v>
      </c>
      <c r="G56" s="812" t="b">
        <v>0</v>
      </c>
      <c r="H56" s="473"/>
      <c r="I56" s="813" t="s">
        <v>2025</v>
      </c>
      <c r="J56" s="629">
        <f t="shared" ref="J56:J58" si="6">F109</f>
        <v>27293</v>
      </c>
      <c r="K56" s="630"/>
      <c r="L56" s="629" t="s">
        <v>14</v>
      </c>
      <c r="M56" s="823">
        <f t="shared" si="5"/>
        <v>0</v>
      </c>
      <c r="N56" s="473"/>
      <c r="O56" s="710" t="s">
        <v>2020</v>
      </c>
      <c r="P56" s="711">
        <v>69.0</v>
      </c>
      <c r="Q56" s="712" t="s">
        <v>1967</v>
      </c>
      <c r="R56" s="824">
        <v>70.0</v>
      </c>
      <c r="S56" s="796" t="s">
        <v>2021</v>
      </c>
      <c r="T56" s="797"/>
    </row>
    <row r="57" ht="19.5" customHeight="1">
      <c r="B57" s="825"/>
      <c r="C57" s="826"/>
      <c r="D57" s="826"/>
      <c r="E57" s="827"/>
      <c r="F57" s="798" t="s">
        <v>2022</v>
      </c>
      <c r="G57" s="799" t="b">
        <v>0</v>
      </c>
      <c r="H57" s="473"/>
      <c r="I57" s="815" t="s">
        <v>2029</v>
      </c>
      <c r="J57" s="816">
        <f t="shared" si="6"/>
        <v>13646</v>
      </c>
      <c r="K57" s="817"/>
      <c r="L57" s="816" t="s">
        <v>14</v>
      </c>
      <c r="M57" s="818">
        <f t="shared" si="5"/>
        <v>0</v>
      </c>
      <c r="N57" s="473"/>
      <c r="O57" s="828"/>
      <c r="Q57" s="828"/>
      <c r="S57" s="807"/>
      <c r="T57" s="807"/>
    </row>
    <row r="58" ht="19.5" customHeight="1">
      <c r="B58" s="829" t="s">
        <v>1884</v>
      </c>
      <c r="C58" s="690"/>
      <c r="D58" s="549" t="s">
        <v>1885</v>
      </c>
      <c r="E58" s="830"/>
      <c r="F58" s="811" t="s">
        <v>2024</v>
      </c>
      <c r="G58" s="812" t="b">
        <v>0</v>
      </c>
      <c r="H58" s="473"/>
      <c r="I58" s="813" t="s">
        <v>2031</v>
      </c>
      <c r="J58" s="629">
        <f t="shared" si="6"/>
        <v>2274</v>
      </c>
      <c r="K58" s="630"/>
      <c r="L58" s="629" t="s">
        <v>14</v>
      </c>
      <c r="M58" s="823">
        <f t="shared" si="5"/>
        <v>0</v>
      </c>
      <c r="N58" s="473"/>
      <c r="O58" s="831" t="s">
        <v>2026</v>
      </c>
      <c r="P58" s="832"/>
      <c r="Q58" s="832"/>
      <c r="R58" s="833"/>
      <c r="S58" s="834" t="s">
        <v>2027</v>
      </c>
      <c r="T58" s="835"/>
    </row>
    <row r="59" ht="19.5" customHeight="1">
      <c r="B59" s="836" t="s">
        <v>1889</v>
      </c>
      <c r="C59" s="837"/>
      <c r="D59" s="838" t="s">
        <v>1890</v>
      </c>
      <c r="E59" s="839">
        <v>12.0</v>
      </c>
      <c r="F59" s="798" t="s">
        <v>2028</v>
      </c>
      <c r="G59" s="799" t="b">
        <v>0</v>
      </c>
      <c r="H59" s="473"/>
      <c r="I59" s="815" t="s">
        <v>2036</v>
      </c>
      <c r="J59" s="816">
        <f t="shared" ref="J59:J60" si="7">D112</f>
        <v>10396</v>
      </c>
      <c r="K59" s="817"/>
      <c r="L59" s="816" t="s">
        <v>14</v>
      </c>
      <c r="M59" s="818">
        <f t="shared" si="5"/>
        <v>0</v>
      </c>
      <c r="N59" s="473"/>
      <c r="O59" s="840"/>
      <c r="P59" s="841"/>
      <c r="Q59" s="841"/>
      <c r="R59" s="807"/>
      <c r="S59" s="842"/>
      <c r="T59" s="843"/>
    </row>
    <row r="60" ht="19.5" customHeight="1">
      <c r="B60" s="829" t="s">
        <v>1892</v>
      </c>
      <c r="C60" s="690"/>
      <c r="D60" s="549" t="s">
        <v>1893</v>
      </c>
      <c r="E60" s="830"/>
      <c r="F60" s="811" t="s">
        <v>2030</v>
      </c>
      <c r="G60" s="812" t="b">
        <v>0</v>
      </c>
      <c r="H60" s="473"/>
      <c r="I60" s="813" t="s">
        <v>2038</v>
      </c>
      <c r="J60" s="629">
        <f t="shared" si="7"/>
        <v>945</v>
      </c>
      <c r="K60" s="630"/>
      <c r="L60" s="629" t="s">
        <v>14</v>
      </c>
      <c r="M60" s="823">
        <f t="shared" si="5"/>
        <v>0</v>
      </c>
      <c r="N60" s="473"/>
      <c r="O60" s="844" t="s">
        <v>65</v>
      </c>
      <c r="P60" s="845" t="s">
        <v>2032</v>
      </c>
      <c r="Q60" s="844" t="s">
        <v>2033</v>
      </c>
      <c r="R60" s="845" t="s">
        <v>2032</v>
      </c>
      <c r="S60" s="846" t="s">
        <v>2034</v>
      </c>
      <c r="T60" s="845" t="s">
        <v>2032</v>
      </c>
    </row>
    <row r="61" ht="19.5" customHeight="1">
      <c r="B61" s="836" t="s">
        <v>2020</v>
      </c>
      <c r="C61" s="837"/>
      <c r="D61" s="838" t="s">
        <v>1967</v>
      </c>
      <c r="E61" s="847">
        <v>0.0</v>
      </c>
      <c r="F61" s="798" t="s">
        <v>2035</v>
      </c>
      <c r="G61" s="799" t="b">
        <v>0</v>
      </c>
      <c r="H61" s="473"/>
      <c r="I61" s="815" t="s">
        <v>2040</v>
      </c>
      <c r="J61" s="816">
        <f t="shared" ref="J61:J62" si="8">F114</f>
        <v>2268</v>
      </c>
      <c r="K61" s="817"/>
      <c r="L61" s="816" t="s">
        <v>14</v>
      </c>
      <c r="M61" s="818">
        <f t="shared" si="5"/>
        <v>0</v>
      </c>
      <c r="N61" s="473"/>
      <c r="O61" s="848"/>
      <c r="P61" s="849"/>
      <c r="Q61" s="848"/>
      <c r="R61" s="849"/>
      <c r="S61" s="850"/>
      <c r="T61" s="849"/>
    </row>
    <row r="62" ht="19.5" customHeight="1">
      <c r="B62" s="829" t="s">
        <v>2015</v>
      </c>
      <c r="C62" s="690"/>
      <c r="D62" s="851" t="s">
        <v>2016</v>
      </c>
      <c r="E62" s="852"/>
      <c r="F62" s="811" t="s">
        <v>2037</v>
      </c>
      <c r="G62" s="812" t="b">
        <v>0</v>
      </c>
      <c r="H62" s="473"/>
      <c r="I62" s="813" t="s">
        <v>2043</v>
      </c>
      <c r="J62" s="629">
        <f t="shared" si="8"/>
        <v>2268</v>
      </c>
      <c r="K62" s="630"/>
      <c r="L62" s="629" t="s">
        <v>14</v>
      </c>
      <c r="M62" s="823">
        <f t="shared" si="5"/>
        <v>0</v>
      </c>
      <c r="N62" s="473"/>
      <c r="O62" s="853"/>
      <c r="P62" s="854"/>
      <c r="Q62" s="853"/>
      <c r="R62" s="854"/>
      <c r="S62" s="855"/>
      <c r="T62" s="854"/>
    </row>
    <row r="63" ht="19.5" customHeight="1">
      <c r="B63" s="856" t="s">
        <v>1975</v>
      </c>
      <c r="C63" s="857"/>
      <c r="D63" s="858" t="s">
        <v>1920</v>
      </c>
      <c r="E63" s="859"/>
      <c r="F63" s="798" t="s">
        <v>2039</v>
      </c>
      <c r="G63" s="799" t="b">
        <v>0</v>
      </c>
      <c r="H63" s="473"/>
      <c r="I63" s="815" t="s">
        <v>2046</v>
      </c>
      <c r="J63" s="816">
        <f t="shared" ref="J63:J65" si="9">D116</f>
        <v>11341</v>
      </c>
      <c r="K63" s="817"/>
      <c r="L63" s="816" t="s">
        <v>14</v>
      </c>
      <c r="M63" s="818">
        <f t="shared" si="5"/>
        <v>0</v>
      </c>
      <c r="N63" s="473"/>
      <c r="O63" s="848"/>
      <c r="P63" s="849"/>
      <c r="Q63" s="848"/>
      <c r="R63" s="849"/>
      <c r="S63" s="850"/>
      <c r="T63" s="849"/>
    </row>
    <row r="64" ht="19.5" customHeight="1">
      <c r="B64" s="829" t="s">
        <v>1896</v>
      </c>
      <c r="C64" s="690"/>
      <c r="D64" s="860" t="s">
        <v>2041</v>
      </c>
      <c r="E64" s="630"/>
      <c r="F64" s="811" t="s">
        <v>2042</v>
      </c>
      <c r="G64" s="812" t="b">
        <v>0</v>
      </c>
      <c r="H64" s="473"/>
      <c r="I64" s="813" t="s">
        <v>2049</v>
      </c>
      <c r="J64" s="629">
        <f t="shared" si="9"/>
        <v>5670</v>
      </c>
      <c r="K64" s="630"/>
      <c r="L64" s="629" t="s">
        <v>14</v>
      </c>
      <c r="M64" s="823">
        <f t="shared" si="5"/>
        <v>0</v>
      </c>
      <c r="N64" s="473"/>
      <c r="O64" s="853"/>
      <c r="P64" s="854"/>
      <c r="Q64" s="853"/>
      <c r="R64" s="854"/>
      <c r="S64" s="855"/>
      <c r="T64" s="854"/>
    </row>
    <row r="65" ht="19.5" customHeight="1">
      <c r="B65" s="836" t="s">
        <v>1957</v>
      </c>
      <c r="C65" s="837"/>
      <c r="D65" s="861" t="s">
        <v>2044</v>
      </c>
      <c r="E65" s="862"/>
      <c r="F65" s="798" t="s">
        <v>2045</v>
      </c>
      <c r="G65" s="799" t="b">
        <v>0</v>
      </c>
      <c r="H65" s="473"/>
      <c r="I65" s="1082" t="s">
        <v>2052</v>
      </c>
      <c r="J65" s="1083">
        <f t="shared" si="9"/>
        <v>3657</v>
      </c>
      <c r="K65" s="1084"/>
      <c r="L65" s="1083" t="s">
        <v>14</v>
      </c>
      <c r="M65" s="1085">
        <f t="shared" si="5"/>
        <v>0</v>
      </c>
      <c r="N65" s="473"/>
      <c r="O65" s="848"/>
      <c r="P65" s="849"/>
      <c r="Q65" s="848"/>
      <c r="R65" s="849"/>
      <c r="S65" s="850"/>
      <c r="T65" s="849"/>
    </row>
    <row r="66" ht="19.5" customHeight="1">
      <c r="B66" s="829" t="s">
        <v>1958</v>
      </c>
      <c r="C66" s="690"/>
      <c r="D66" s="860" t="s">
        <v>2047</v>
      </c>
      <c r="E66" s="630"/>
      <c r="F66" s="811" t="s">
        <v>2048</v>
      </c>
      <c r="G66" s="812" t="b">
        <v>0</v>
      </c>
      <c r="H66" s="473"/>
      <c r="I66" s="472"/>
      <c r="N66" s="473"/>
      <c r="O66" s="853"/>
      <c r="P66" s="854"/>
      <c r="Q66" s="853"/>
      <c r="R66" s="854"/>
      <c r="S66" s="855"/>
      <c r="T66" s="854"/>
    </row>
    <row r="67" ht="19.5" customHeight="1">
      <c r="B67" s="836" t="s">
        <v>1960</v>
      </c>
      <c r="C67" s="837"/>
      <c r="D67" s="861" t="s">
        <v>2050</v>
      </c>
      <c r="E67" s="862"/>
      <c r="F67" s="798" t="s">
        <v>2051</v>
      </c>
      <c r="G67" s="799" t="b">
        <v>0</v>
      </c>
      <c r="H67" s="473"/>
      <c r="I67" s="1086" t="s">
        <v>2055</v>
      </c>
      <c r="J67" s="1087" t="s">
        <v>2300</v>
      </c>
      <c r="K67" s="1088" t="s">
        <v>2301</v>
      </c>
      <c r="L67" s="1087" t="s">
        <v>2302</v>
      </c>
      <c r="M67" s="1089" t="s">
        <v>1924</v>
      </c>
      <c r="N67" s="473"/>
      <c r="O67" s="848"/>
      <c r="P67" s="849"/>
      <c r="Q67" s="848"/>
      <c r="R67" s="849"/>
      <c r="S67" s="850"/>
      <c r="T67" s="849"/>
    </row>
    <row r="68" ht="19.5" customHeight="1">
      <c r="B68" s="829" t="s">
        <v>1963</v>
      </c>
      <c r="C68" s="690"/>
      <c r="D68" s="860" t="s">
        <v>2053</v>
      </c>
      <c r="E68" s="630"/>
      <c r="F68" s="811" t="s">
        <v>2054</v>
      </c>
      <c r="G68" s="812" t="b">
        <v>0</v>
      </c>
      <c r="H68" s="473"/>
      <c r="I68" s="1090" t="s">
        <v>2059</v>
      </c>
      <c r="J68" s="870" t="s">
        <v>2303</v>
      </c>
      <c r="K68" s="871" t="s">
        <v>1924</v>
      </c>
      <c r="L68" s="870" t="s">
        <v>2304</v>
      </c>
      <c r="M68" s="1091" t="s">
        <v>1924</v>
      </c>
      <c r="N68" s="473"/>
      <c r="O68" s="853"/>
      <c r="P68" s="854"/>
      <c r="Q68" s="853"/>
      <c r="R68" s="854"/>
      <c r="S68" s="855"/>
      <c r="T68" s="854"/>
    </row>
    <row r="69" ht="19.5" customHeight="1">
      <c r="B69" s="836" t="s">
        <v>1965</v>
      </c>
      <c r="C69" s="837"/>
      <c r="D69" s="867" t="s">
        <v>1899</v>
      </c>
      <c r="E69" s="868"/>
      <c r="F69" s="798" t="s">
        <v>2058</v>
      </c>
      <c r="G69" s="799" t="b">
        <v>0</v>
      </c>
      <c r="H69" s="473"/>
      <c r="I69" s="1092" t="s">
        <v>2063</v>
      </c>
      <c r="J69" s="874" t="s">
        <v>2305</v>
      </c>
      <c r="K69" s="875" t="s">
        <v>1924</v>
      </c>
      <c r="L69" s="874" t="s">
        <v>2306</v>
      </c>
      <c r="M69" s="1093" t="s">
        <v>1924</v>
      </c>
      <c r="N69" s="473"/>
      <c r="O69" s="848"/>
      <c r="P69" s="849"/>
      <c r="Q69" s="848"/>
      <c r="R69" s="849"/>
      <c r="S69" s="850"/>
      <c r="T69" s="849"/>
    </row>
    <row r="70" ht="19.5" customHeight="1">
      <c r="B70" s="829" t="s">
        <v>1969</v>
      </c>
      <c r="C70" s="690"/>
      <c r="D70" s="549" t="s">
        <v>1903</v>
      </c>
      <c r="E70" s="830"/>
      <c r="F70" s="811" t="s">
        <v>2062</v>
      </c>
      <c r="G70" s="812" t="b">
        <v>0</v>
      </c>
      <c r="H70" s="473"/>
      <c r="I70" s="473"/>
      <c r="J70" s="473"/>
      <c r="K70" s="473"/>
      <c r="L70" s="473"/>
      <c r="M70" s="473"/>
      <c r="N70" s="473"/>
      <c r="O70" s="877" t="s">
        <v>2066</v>
      </c>
      <c r="P70" s="821"/>
      <c r="Q70" s="821"/>
      <c r="R70" s="821"/>
      <c r="S70" s="821"/>
      <c r="T70" s="822"/>
    </row>
    <row r="71" ht="19.5" customHeight="1">
      <c r="B71" s="836" t="s">
        <v>1973</v>
      </c>
      <c r="C71" s="837"/>
      <c r="D71" s="838" t="s">
        <v>1907</v>
      </c>
      <c r="E71" s="839"/>
      <c r="F71" s="798" t="s">
        <v>2067</v>
      </c>
      <c r="G71" s="799" t="b">
        <v>0</v>
      </c>
      <c r="H71" s="473"/>
      <c r="I71" s="491" t="s">
        <v>2068</v>
      </c>
      <c r="J71" s="492"/>
      <c r="K71" s="492"/>
      <c r="L71" s="492"/>
      <c r="M71" s="492"/>
      <c r="N71" s="493"/>
      <c r="O71" s="878"/>
      <c r="P71" s="879"/>
      <c r="Q71" s="879"/>
      <c r="R71" s="879"/>
      <c r="S71" s="879"/>
      <c r="T71" s="880"/>
    </row>
    <row r="72" ht="19.5" customHeight="1">
      <c r="B72" s="881" t="s">
        <v>1933</v>
      </c>
      <c r="C72" s="706"/>
      <c r="D72" s="549" t="s">
        <v>1910</v>
      </c>
      <c r="E72" s="830"/>
      <c r="F72" s="811" t="s">
        <v>1887</v>
      </c>
      <c r="G72" s="812" t="b">
        <v>0</v>
      </c>
      <c r="H72" s="473"/>
      <c r="I72" s="502"/>
      <c r="J72" s="503"/>
      <c r="K72" s="503"/>
      <c r="L72" s="503"/>
      <c r="M72" s="503"/>
      <c r="N72" s="504"/>
      <c r="O72" s="882" t="s">
        <v>65</v>
      </c>
      <c r="P72" s="883" t="s">
        <v>1928</v>
      </c>
      <c r="Q72" s="882" t="s">
        <v>65</v>
      </c>
      <c r="R72" s="883" t="s">
        <v>1928</v>
      </c>
      <c r="S72" s="882" t="s">
        <v>2069</v>
      </c>
      <c r="T72" s="884" t="s">
        <v>1928</v>
      </c>
    </row>
    <row r="73" ht="19.5" customHeight="1">
      <c r="B73" s="885" t="s">
        <v>1935</v>
      </c>
      <c r="C73" s="886"/>
      <c r="D73" s="887" t="s">
        <v>1913</v>
      </c>
      <c r="E73" s="888"/>
      <c r="F73" s="798" t="s">
        <v>2070</v>
      </c>
      <c r="G73" s="799" t="b">
        <v>0</v>
      </c>
      <c r="H73" s="473"/>
      <c r="I73" s="889" t="s">
        <v>2071</v>
      </c>
      <c r="J73" s="890">
        <f>(S4+D25)</f>
        <v>644</v>
      </c>
      <c r="K73" s="891" t="s">
        <v>1957</v>
      </c>
      <c r="L73" s="892">
        <f t="array" ref="L73">R42+E28+C65+IF(S46="АФ.ПИРО%",46.6,0)+IF(G53=TRUE, 15,0)+IF(G65=TRUE, 60,0)+IF(G71=TRUE, 40,0)+IF(G76=TRUE, 15,0)+IF(G79=TRUE, 20,0)+CHOOSE(MATCH(LOWER(TRIM(T74)),{"НЕ АКТИВ";"НЕ НАТЛАН";"НАТЛАН"}, 0), 0,12,40)+IF(T78=TRUE, 35, 0)+IF(P77=TRUE, 20, 0)+IF(P81=TRUE, 25.6, 0)</f>
        <v>0</v>
      </c>
      <c r="M73" s="692" t="s">
        <v>1959</v>
      </c>
      <c r="N73" s="893" t="str">
        <f t="shared" ref="N73:N74" si="10">P29</f>
        <v/>
      </c>
      <c r="O73" s="229" t="s">
        <v>2072</v>
      </c>
      <c r="P73" s="894" t="b">
        <v>0</v>
      </c>
      <c r="Q73" s="229" t="s">
        <v>2073</v>
      </c>
      <c r="R73" s="895" t="b">
        <v>0</v>
      </c>
      <c r="S73" s="229" t="s">
        <v>1825</v>
      </c>
      <c r="T73" s="896" t="b">
        <v>0</v>
      </c>
    </row>
    <row r="74" ht="19.5" customHeight="1">
      <c r="B74" s="473"/>
      <c r="C74" s="473"/>
      <c r="D74" s="473"/>
      <c r="E74" s="473"/>
      <c r="F74" s="811" t="s">
        <v>1901</v>
      </c>
      <c r="G74" s="812" t="b">
        <v>0</v>
      </c>
      <c r="H74" s="473"/>
      <c r="I74" s="897" t="s">
        <v>2074</v>
      </c>
      <c r="J74" s="898">
        <f t="array" ref="J74">ROUND((J73)*(100%+R7%+R29%+C28%+C58%+P52%+IF(G76=TRUE, 10,0)%+IF(G65=TRUE, 40,0)%+IF(G61=TRUE, 30,0)% + IF(C13=TRUE, 25,0)%+IF(R6="СА%", S6, 0)% + IF(S43="СА%", 46.6,0)% + IF(S46="СА%", 46.6,0)% + IF(D41=TRUE, 10,0)% + IF(S49="СА%", 46.6,0 )%+IF(T75=TRUE, 20, 0)%+IF(T76=TRUE, 20, 0)%+IF(P73=TRUE, 20, 0)%+IF(P74=TRUE, 48, 0)%+IF(P75=TRUE, 40, 0)%+IF(P76=TRUE, 20, 0)%+IF(P80=TRUE, 32, 0)%+CHOOSE(MATCH(LOWER(TRIM(R82)),{"НЕ АКТИВ";"НЕ ШАБАШ";"ШАБАШ"}, 0), 0,16,28)%)+(T33 + R55 + E62 +IF(G53=TRUE, 1202,0)+IF(G61=TRUE, 810,0)+IF(R75=TRUE,R74*0.48*0.3,0)+IF(R81=TRUE,R80*0.48*0.3,0)+IF(R2="ОМУТ",J78*XLOOKUP(T4,{"РП1"; "РП2"; "РП3"; "РП4";"РП5"},{1.2; 1.5; 1.8; 2.1; 2.4})%,0)+IF(R2="АКВАМАРИН",J75*XLOOKUP(T4,{"РП1"; "РП2"; "РП3"; "РП4";"РП5"},{24; 30; 36; 42; 48})%,0)+IF(R2="СКИТАЮЩИЙСЯ",J75*XLOOKUP(T4,{"РП1"; "РП2"; "РП3"; "РП4";"РП5"},{24; 30; 36; 42; 48})%,0)+IF(R2="ФИНАЛ ГЛУБИН",XLOOKUP(T4,{"РП1"; "РП2"; "РП3"; "РП4";"РП5"},{150; 187.5; 225; 262.5; 300}),0)+IF(D41=TRUE,J79*103.7%,0)+IF(F47=TRUE,J79*18.7%,0)),0)</f>
        <v>1874</v>
      </c>
      <c r="K74" s="899" t="s">
        <v>1958</v>
      </c>
      <c r="L74" s="900">
        <f t="array" ref="L74">R43+E29+C66+IF(S46="АФ.ГИДРО%",46.6,0)+IF(G71=TRUE, 40,0)+IF(G79=TRUE, 20,0)+CHOOSE(MATCH(LOWER(TRIM(T74)),{"НЕ АКТИВ";"НЕ НАТЛАН";"НАТЛАН"}, 0), 0,12,40)+IF(T78=TRUE, 35, 0)+IF(P77=TRUE, 20, 0)+IF(P81=TRUE, 25.6, 0)</f>
        <v>0</v>
      </c>
      <c r="M74" s="699" t="s">
        <v>1961</v>
      </c>
      <c r="N74" s="901" t="str">
        <f t="shared" si="10"/>
        <v/>
      </c>
      <c r="O74" s="156" t="s">
        <v>2075</v>
      </c>
      <c r="P74" s="902" t="b">
        <v>0</v>
      </c>
      <c r="Q74" s="903" t="s">
        <v>2076</v>
      </c>
      <c r="R74" s="904">
        <v>1000.0</v>
      </c>
      <c r="S74" s="156" t="s">
        <v>2077</v>
      </c>
      <c r="T74" s="905" t="s">
        <v>2078</v>
      </c>
    </row>
    <row r="75" ht="19.5" customHeight="1">
      <c r="B75" s="906" t="s">
        <v>2079</v>
      </c>
      <c r="C75" s="907"/>
      <c r="D75" s="907"/>
      <c r="E75" s="908"/>
      <c r="F75" s="798" t="s">
        <v>2080</v>
      </c>
      <c r="G75" s="799" t="b">
        <v>0</v>
      </c>
      <c r="H75" s="473"/>
      <c r="I75" s="909" t="s">
        <v>1967</v>
      </c>
      <c r="J75" s="910">
        <f t="array" ref="J75">T17+T32+R56+C34+E61 + IF(C17=TRUE, 50,0)+CHOOSE(MATCH(LOWER(TRIM(D17)),{"50 МС";"20 МС";"30 МС";"НЕТ"}, 0), 50,20,30,0)+IF(R6="МС", S6,0) + IF(S43="МС", 187,0) + IF(S46="МС", 187,0) + IF(S49="МС", 187,0) +IF(G56=TRUE, K67*6%,0)+IF(G59=TRUE, 80,0)+IF(G66=TRUE, 250,0)+IF(G67=TRUE, 100,0)+IF(G72=TRUE, 125,0)+IF(G79=TRUE, 230,0)+CHOOSE(MATCH(LOWER(TRIM(T80)),{"НЕ АКТИВ";"1 НОД";"2 НОДА"}, 0), 0,60,120)+IF(T81=TRUE,120,0)+IF(P73=TRUE, 100, 0)+IF(P78=TRUE, 40, 0)+IF(R77=TRUE, R76*0.002, 0)+IF(R83=TRUE, 120, 0)</f>
        <v>270</v>
      </c>
      <c r="K75" s="911" t="s">
        <v>1960</v>
      </c>
      <c r="L75" s="912">
        <f t="array" ref="L75">R44+E30+C67+IF(S46="АФ.ЭЛЕКТРО%",46.6,0)+IF(G65=TRUE, 60,0)+IF(G71=TRUE, 40,0)+IF(G79=TRUE, 20,0)+CHOOSE(MATCH(LOWER(TRIM(T74)),{"НЕ АКТИВ";"НЕ НАТЛАН";"НАТЛАН"}, 0), 0,12,40)+IF(T78=TRUE, 35, 0)+IF(P77=TRUE, 20, 0)+IF(P81=TRUE, 25.6, 0)</f>
        <v>0</v>
      </c>
      <c r="M75" s="692" t="s">
        <v>2081</v>
      </c>
      <c r="N75" s="893">
        <f>P31+IF(G78=TRUE, 40,0)</f>
        <v>0</v>
      </c>
      <c r="O75" s="229" t="s">
        <v>2082</v>
      </c>
      <c r="P75" s="894" t="b">
        <v>0</v>
      </c>
      <c r="Q75" s="913"/>
      <c r="R75" s="914" t="b">
        <v>0</v>
      </c>
      <c r="S75" s="229" t="s">
        <v>2083</v>
      </c>
      <c r="T75" s="896" t="b">
        <v>0</v>
      </c>
    </row>
    <row r="76" ht="19.5" customHeight="1">
      <c r="B76" s="915"/>
      <c r="C76" s="662"/>
      <c r="D76" s="662"/>
      <c r="E76" s="916"/>
      <c r="F76" s="811" t="s">
        <v>2084</v>
      </c>
      <c r="G76" s="812" t="b">
        <v>0</v>
      </c>
      <c r="H76" s="473"/>
      <c r="I76" s="897" t="s">
        <v>1885</v>
      </c>
      <c r="J76" s="917">
        <f>50+(T7+T29+R52+C31+E58 +IF(R6="КУ%",S6,0)+IF(S49="КУ%",62.2,0)+IF(G68=TRUE,40,0)+IF(G75=TRUE, 40,0))</f>
        <v>243.1</v>
      </c>
      <c r="K76" s="899" t="s">
        <v>1963</v>
      </c>
      <c r="L76" s="900">
        <f t="array" ref="L76">R41+E31+C68+IF(S46="АФ.КРИО%",46.6,0)+IF(G71=TRUE, 40,0)+IF(G79=TRUE, 20,0)+CHOOSE(MATCH(LOWER(TRIM(T74)),{"НЕ АКТИВ";"НЕ НАТЛАН";"НАТЛАН"}, 0), 0,12,40)+IF(T78=TRUE, 35, 0)+IF(P77=TRUE, 20, 0)+IF(P81=TRUE, 25.6, 0)</f>
        <v>0</v>
      </c>
      <c r="M76" s="699" t="s">
        <v>1934</v>
      </c>
      <c r="N76" s="901">
        <f>P32+T19+IF(G59=TRUE, 35,0)+IF(G67=TRUE, 400,0)+IF(G78=TRUE, 100,0)+IF(P83=TRUE, 120,0)</f>
        <v>0</v>
      </c>
      <c r="O76" s="156" t="s">
        <v>2085</v>
      </c>
      <c r="P76" s="902" t="b">
        <v>0</v>
      </c>
      <c r="Q76" s="903" t="s">
        <v>2086</v>
      </c>
      <c r="R76" s="918">
        <v>50000.0</v>
      </c>
      <c r="S76" s="156" t="s">
        <v>1832</v>
      </c>
      <c r="T76" s="905" t="b">
        <v>0</v>
      </c>
    </row>
    <row r="77" ht="19.5" customHeight="1">
      <c r="B77" s="919" t="s">
        <v>2087</v>
      </c>
      <c r="C77" s="920">
        <v>90.0</v>
      </c>
      <c r="D77" s="921" t="s">
        <v>2088</v>
      </c>
      <c r="E77" s="922">
        <v>950.0</v>
      </c>
      <c r="F77" s="798" t="s">
        <v>2089</v>
      </c>
      <c r="G77" s="799" t="b">
        <v>0</v>
      </c>
      <c r="H77" s="473"/>
      <c r="I77" s="909" t="s">
        <v>2090</v>
      </c>
      <c r="J77" s="923">
        <f>5+(C32+T8+T30+R53+IF(C15=TRUE, 15,0)+E59+IF(R6="ШК%",S6,0)+IF(S49="ШК%",31.1,0))</f>
        <v>93.8</v>
      </c>
      <c r="K77" s="911" t="s">
        <v>1965</v>
      </c>
      <c r="L77" s="912">
        <f t="array" ref="L77">R45+E32+C69+IF(S46="АФ.ГЕО%",46.6,0)+IF(G75=TRUE, 15,0)+CHOOSE(MATCH(LOWER(TRIM(T74)),{"НЕ АКТИВ";"НЕ НАТЛАН";"НАТЛАН"}, 0), 0,12,40)+IF(P77=TRUE, 20, 0)+IF(P81=TRUE, 25.6, 0)</f>
        <v>0</v>
      </c>
      <c r="M77" s="692" t="s">
        <v>2091</v>
      </c>
      <c r="N77" s="893">
        <f t="array" ref="N77">P33+T21+MIN(CHOOSE(MATCH(LOWER(TRIM(C18)),{"ПИРО ПЕРС";"КРИО ПЕРС";"ЭЛЕКТ. ПЕРС";"ГИДРО ПЕРС";"ГЕО ПЕРС";"АНЕМО ПЕРС";"ДЕНД. ПЕРС"}, 0), (D18/100)*0.9,(D18/100)*0.9,(D18/100)*0.9,(D18/1000)*0.6,(D18/100)*1,(D18/100)*2.25,(D18/100)*2.25),36)+IF(G59=TRUE, 35,0)+IF(G78=TRUE, 35,0)+CHOOSE(MATCH(LOWER(TRIM(T80)),{"НЕ АКТИВ";"1 НОД";"2 НОДА"}, 0), 0,10,20)+CHOOSE(MATCH(LOWER(TRIM(T82)),{"НЕ АКТИВ";"1 НОД";"2 НОДА"}, 0), 0,10,20)+IF(P83=TRUE, 40,0)</f>
        <v>122</v>
      </c>
      <c r="O77" s="229" t="s">
        <v>2092</v>
      </c>
      <c r="P77" s="894" t="b">
        <v>0</v>
      </c>
      <c r="Q77" s="913"/>
      <c r="R77" s="895" t="b">
        <v>0</v>
      </c>
      <c r="S77" s="229" t="s">
        <v>2093</v>
      </c>
      <c r="T77" s="896" t="b">
        <v>0</v>
      </c>
    </row>
    <row r="78" ht="19.5" customHeight="1">
      <c r="B78" s="924" t="s">
        <v>2094</v>
      </c>
      <c r="C78" s="925">
        <f>0</f>
        <v>0</v>
      </c>
      <c r="D78" s="926" t="s">
        <v>2095</v>
      </c>
      <c r="E78" s="927">
        <f>0</f>
        <v>0</v>
      </c>
      <c r="F78" s="928" t="s">
        <v>2096</v>
      </c>
      <c r="G78" s="929" t="b">
        <v>0</v>
      </c>
      <c r="H78" s="473"/>
      <c r="I78" s="930" t="s">
        <v>2097</v>
      </c>
      <c r="J78" s="931">
        <f>ROUND((C26)*(100%+R8%+R30%+P54%+C29%+C59%+IF(C14=TRUE,25,0)%+IF(R6="ХП%",S6,0)%+IF(S43="ХП%",46.6,0)%+IF(S46="ХП%",46.6,0)%+IF(S49="ХП%",46.6,0)%)+(R33+P55+C62),0)</f>
        <v>39856</v>
      </c>
      <c r="K78" s="899" t="s">
        <v>1969</v>
      </c>
      <c r="L78" s="900">
        <f t="array" ref="L78">R46+E33+C70+IF(S46="АФ.АНЕМО%",46.6,0)+IF(G68=TRUE, 38.3,0)+CHOOSE(MATCH(LOWER(TRIM(T74)),{"НЕ АКТИВ";"НЕ НАТЛАН";"НАТЛАН"}, 0), 0,12,40)+IF(P77=TRUE, 20, 0)+IF(P81=TRUE, 25.6, 0)</f>
        <v>0</v>
      </c>
      <c r="M78" s="699" t="s">
        <v>1974</v>
      </c>
      <c r="N78" s="901">
        <f>P34+T18+IF(G78=TRUE, 100,0)+IF(P83=TRUE, 80,0)</f>
        <v>0</v>
      </c>
      <c r="O78" s="156" t="s">
        <v>2098</v>
      </c>
      <c r="P78" s="902" t="b">
        <v>0</v>
      </c>
      <c r="Q78" s="903" t="s">
        <v>2099</v>
      </c>
      <c r="R78" s="904">
        <v>1000.0</v>
      </c>
      <c r="S78" s="156" t="s">
        <v>2100</v>
      </c>
      <c r="T78" s="905" t="b">
        <v>0</v>
      </c>
    </row>
    <row r="79" ht="19.5" customHeight="1">
      <c r="B79" s="932" t="s">
        <v>2101</v>
      </c>
      <c r="C79" s="677"/>
      <c r="D79" s="933">
        <f>(D23+100)/((D23+100)+(C77+100)*(1-E78%)*(1-C78%))</f>
        <v>0.5</v>
      </c>
      <c r="E79" s="934"/>
      <c r="F79" s="798" t="s">
        <v>2102</v>
      </c>
      <c r="G79" s="799" t="b">
        <v>0</v>
      </c>
      <c r="H79" s="473"/>
      <c r="I79" s="909" t="s">
        <v>2103</v>
      </c>
      <c r="J79" s="910">
        <f>ROUND(((E26)*(100%+R9%+C30%+R31%+P53%+C60% +IF(R6="ЗЩ%", S6,0)% +IF(S43="ЗЩ%",58.3,0)% +IF(S46="ЗЩ%",58.3,0)% +IF(S49="ЗЩ%",58.3,0)%+IF(F45=TRUE, 20,0)%))+(C61+P56+IF(G75=TRUE, 438,0)),0)</f>
        <v>689</v>
      </c>
      <c r="K79" s="911" t="s">
        <v>1973</v>
      </c>
      <c r="L79" s="912">
        <f t="array" ref="L79">(R47+E34+C71+IF(S46="АФ.ДЕНДРО%",46.6,0))+CHOOSE(MATCH(LOWER(TRIM(T74)),{"НЕ АКТИВ";"НЕ НАТЛАН";"НАТЛАН"}, 0), 0,12,40)+IF(P77=TRUE, 20, 0)+IF(P81=TRUE, 25.6, 0)</f>
        <v>0</v>
      </c>
      <c r="M79" s="692" t="s">
        <v>1976</v>
      </c>
      <c r="N79" s="893">
        <f>P35+T18+IF(G78=TRUE, 100,0)+IF(P83=TRUE, 80,0)</f>
        <v>0</v>
      </c>
      <c r="O79" s="229" t="s">
        <v>2104</v>
      </c>
      <c r="P79" s="894" t="b">
        <v>0</v>
      </c>
      <c r="Q79" s="913"/>
      <c r="R79" s="935" t="b">
        <v>0</v>
      </c>
      <c r="S79" s="229" t="s">
        <v>1850</v>
      </c>
      <c r="T79" s="896" t="b">
        <v>0</v>
      </c>
    </row>
    <row r="80" ht="19.5" customHeight="1">
      <c r="B80" s="936" t="s">
        <v>1904</v>
      </c>
      <c r="C80" s="937">
        <f t="shared" ref="C80:C83" si="11">IF(C85&lt;0, C85/2, IF(AND(C85&gt;=0, C85&lt;75),C85, IF(C85&gt;=75, 75, C85)))</f>
        <v>10</v>
      </c>
      <c r="D80" s="938" t="s">
        <v>1917</v>
      </c>
      <c r="E80" s="939">
        <f t="shared" ref="E80:E83" si="12">IF(E85&lt;0, E85/2, IF(AND(E85&gt;=0, E85&lt;75),E85, IF(E85&gt;=75, 75, E85)))</f>
        <v>10</v>
      </c>
      <c r="F80" s="473"/>
      <c r="G80" s="473"/>
      <c r="H80" s="473"/>
      <c r="I80" s="940" t="s">
        <v>2105</v>
      </c>
      <c r="J80" s="941">
        <f>100+(T9+C33+T31+R54+E60+IF(R6="ВЭ%", S6,0)+IF(S43="ВЭ%",51.8,0)+IF(R79=TRUE, R78*0.072*0.3, 0))</f>
        <v>125.3</v>
      </c>
      <c r="K80" s="942" t="s">
        <v>1896</v>
      </c>
      <c r="L80" s="943">
        <f>(R35+E35+C64+IF(R6="ФИЗ%",S6,0)+IF(S46="АФ.ФИЗ.%",58.3,0))</f>
        <v>0</v>
      </c>
      <c r="M80" s="699" t="s">
        <v>1943</v>
      </c>
      <c r="N80" s="901">
        <f>P36+IF(G59=TRUE, 35,0)</f>
        <v>0</v>
      </c>
      <c r="O80" s="156" t="s">
        <v>2106</v>
      </c>
      <c r="P80" s="902" t="b">
        <v>0</v>
      </c>
      <c r="Q80" s="903" t="s">
        <v>2107</v>
      </c>
      <c r="R80" s="904">
        <v>1000.0</v>
      </c>
      <c r="S80" s="156" t="s">
        <v>2108</v>
      </c>
      <c r="T80" s="905" t="s">
        <v>2078</v>
      </c>
    </row>
    <row r="81" ht="19.5" customHeight="1">
      <c r="B81" s="944" t="s">
        <v>1908</v>
      </c>
      <c r="C81" s="830">
        <f t="shared" si="11"/>
        <v>10</v>
      </c>
      <c r="D81" s="860" t="s">
        <v>2109</v>
      </c>
      <c r="E81" s="945">
        <f t="shared" si="12"/>
        <v>10</v>
      </c>
      <c r="F81" s="473"/>
      <c r="G81" s="473"/>
      <c r="H81" s="473"/>
      <c r="I81" s="909" t="s">
        <v>2110</v>
      </c>
      <c r="J81" s="946">
        <f>(C35+R19+C72+R48 +IF(S49="БОНУС ЛЕЧЕНИЕ",35.9,0))</f>
        <v>0</v>
      </c>
      <c r="K81" s="947" t="s">
        <v>2111</v>
      </c>
      <c r="L81" s="948">
        <f>R17+R32+E63+IF(G77=TRUE, 2050,0)</f>
        <v>0</v>
      </c>
      <c r="M81" s="692" t="s">
        <v>2112</v>
      </c>
      <c r="N81" s="893">
        <f t="array" ref="N81">P37+T20+MIN(CHOOSE(MATCH(LOWER(TRIM(C18)),{"ПИРО ПЕРС";"КРИО ПЕРС";"ЭЛЕКТ. ПЕРС";"ГИДРО ПЕРС";"ГЕО ПЕРС";"АНЕМО ПЕРС";"ДЕНД. ПЕРС"}, 0), (D18/100)*0.9,(D18/100)*0.9,(D18/100)*0.9,(D18/1000)*0.6,(D18/100)*1,(D18/100)*2.25,(D18/100)*2.25),36)+IF(G59=TRUE, 35,0)+IF(P82=TRUE, 40, 0)+CHOOSE(MATCH(LOWER(TRIM(T80)),{"НЕ АКТИВ";"1 НОД";"2 НОДА"}, 0), 0,10,20)+CHOOSE(MATCH(LOWER(TRIM(T82)),{"НЕ АКТИВ";"1 НОД";"2 НОДА"}, 0), 0,10,20)</f>
        <v>122</v>
      </c>
      <c r="O81" s="229" t="s">
        <v>2113</v>
      </c>
      <c r="P81" s="894" t="b">
        <v>0</v>
      </c>
      <c r="Q81" s="913"/>
      <c r="R81" s="935" t="b">
        <v>0</v>
      </c>
      <c r="S81" s="229" t="s">
        <v>1828</v>
      </c>
      <c r="T81" s="896" t="b">
        <v>0</v>
      </c>
    </row>
    <row r="82" ht="19.5" customHeight="1">
      <c r="B82" s="936" t="s">
        <v>2114</v>
      </c>
      <c r="C82" s="937">
        <f t="shared" si="11"/>
        <v>10</v>
      </c>
      <c r="D82" s="938" t="s">
        <v>1914</v>
      </c>
      <c r="E82" s="939">
        <f t="shared" si="12"/>
        <v>-5</v>
      </c>
      <c r="F82" s="473"/>
      <c r="G82" s="473"/>
      <c r="H82" s="473"/>
      <c r="I82" s="897" t="s">
        <v>2115</v>
      </c>
      <c r="J82" s="949">
        <f>IF(G54=TRUE, 30,0)</f>
        <v>0</v>
      </c>
      <c r="K82" s="897" t="s">
        <v>2116</v>
      </c>
      <c r="L82" s="898">
        <f>E64+R18</f>
        <v>0</v>
      </c>
      <c r="M82" s="699" t="s">
        <v>1980</v>
      </c>
      <c r="N82" s="901" t="str">
        <f>P38</f>
        <v/>
      </c>
      <c r="O82" s="950" t="s">
        <v>2117</v>
      </c>
      <c r="P82" s="951" t="b">
        <v>0</v>
      </c>
      <c r="Q82" s="950" t="s">
        <v>2118</v>
      </c>
      <c r="R82" s="952" t="s">
        <v>2078</v>
      </c>
      <c r="S82" s="156" t="s">
        <v>1827</v>
      </c>
      <c r="T82" s="953" t="s">
        <v>2078</v>
      </c>
    </row>
    <row r="83" ht="19.5" customHeight="1">
      <c r="B83" s="944" t="s">
        <v>1911</v>
      </c>
      <c r="C83" s="830">
        <f t="shared" si="11"/>
        <v>10</v>
      </c>
      <c r="D83" s="860" t="s">
        <v>2119</v>
      </c>
      <c r="E83" s="945">
        <f t="shared" si="12"/>
        <v>10</v>
      </c>
      <c r="F83" s="473"/>
      <c r="G83" s="473"/>
      <c r="H83" s="473"/>
      <c r="I83" s="954" t="s">
        <v>1935</v>
      </c>
      <c r="J83" s="955">
        <f>(R20+R49+C73+IF(C16=TRUE, 15,0))+IF(T76=TRUE, 30, 0)</f>
        <v>15</v>
      </c>
      <c r="K83" s="909" t="s">
        <v>2120</v>
      </c>
      <c r="L83" s="910">
        <f>E65+IF(G64=TRUE, 6600,0)</f>
        <v>0</v>
      </c>
      <c r="M83" s="956" t="s">
        <v>1983</v>
      </c>
      <c r="N83" s="893">
        <f>P39+IF(G78=TRUE, 100,0)</f>
        <v>0</v>
      </c>
      <c r="O83" s="957" t="s">
        <v>2121</v>
      </c>
      <c r="P83" s="958" t="b">
        <v>0</v>
      </c>
      <c r="Q83" s="957" t="s">
        <v>2122</v>
      </c>
      <c r="R83" s="958" t="b">
        <v>0</v>
      </c>
      <c r="S83" s="957" t="s">
        <v>59</v>
      </c>
      <c r="T83" s="959" t="s">
        <v>59</v>
      </c>
    </row>
    <row r="84" ht="19.5" customHeight="1">
      <c r="B84" s="960" t="s">
        <v>2123</v>
      </c>
      <c r="C84" s="677"/>
      <c r="D84" s="677"/>
      <c r="E84" s="934"/>
      <c r="F84" s="473"/>
      <c r="G84" s="473"/>
      <c r="H84" s="473"/>
      <c r="I84" s="897" t="s">
        <v>1899</v>
      </c>
      <c r="J84" s="949">
        <f t="shared" ref="J84:J85" si="13">(R11+R36+E69)</f>
        <v>0</v>
      </c>
      <c r="K84" s="897" t="s">
        <v>2047</v>
      </c>
      <c r="L84" s="898">
        <f t="array" ref="L84">E66+IF(G63=TRUE, 2800,0)+IF(R2="ЛИСТВЕННЫЙ РАЗРЕЗ",J75*XLOOKUP(T4,{"РП1"; "РП2"; "РП3"; "РП4";"РП5"},{120; 150; 180; 210; 240})%,0)+IF(R2="КИНОВАР",J79*XLOOKUP(T4,{"РП1"; "РП2"; "РП3"; "РП4";"РП5"},{40; 50; 60; 70; 80})%,0)</f>
        <v>0</v>
      </c>
      <c r="M84" s="961" t="s">
        <v>1984</v>
      </c>
      <c r="N84" s="901" t="str">
        <f t="shared" ref="N84:N86" si="14">P40</f>
        <v/>
      </c>
      <c r="O84" s="473"/>
      <c r="P84" s="473"/>
      <c r="Q84" s="962"/>
      <c r="R84" s="962"/>
      <c r="S84" s="473"/>
      <c r="T84" s="473"/>
    </row>
    <row r="85" ht="19.5" customHeight="1">
      <c r="B85" s="944" t="s">
        <v>1904</v>
      </c>
      <c r="C85" s="963">
        <f>10+IF(R27="ТЕНЬ", -40,0)+IF(G57=TRUE, -36,0)+IF(G58=TRUE, -20,0)+IF(G65=TRUE, -40,0)+IF(G73=TRUE, -20,0)+IF(G74=TRUE, -35,0)+IF(G76=TRUE, -15,0)+IF(T73=TRUE, -40, 0)</f>
        <v>10</v>
      </c>
      <c r="D85" s="860" t="s">
        <v>1917</v>
      </c>
      <c r="E85" s="945">
        <f>10+IF(R27="ДРЕМУЧИЙ ЛЕС", IF(T35=TRUE, -30,0),0)+IF(G55=TRUE, -25,0)+IF(G73=TRUE, -20,0)+IF(G74=TRUE, -35,0)</f>
        <v>10</v>
      </c>
      <c r="F85" s="473"/>
      <c r="G85" s="473"/>
      <c r="H85" s="473"/>
      <c r="I85" s="909" t="s">
        <v>1903</v>
      </c>
      <c r="J85" s="946">
        <f t="shared" si="13"/>
        <v>0</v>
      </c>
      <c r="K85" s="909" t="s">
        <v>2050</v>
      </c>
      <c r="L85" s="910" t="str">
        <f>E67</f>
        <v/>
      </c>
      <c r="M85" s="956" t="s">
        <v>1987</v>
      </c>
      <c r="N85" s="893" t="str">
        <f t="shared" si="14"/>
        <v/>
      </c>
      <c r="O85" s="473"/>
      <c r="P85" s="473"/>
      <c r="Q85" s="962"/>
      <c r="R85" s="962"/>
      <c r="S85" s="473"/>
      <c r="T85" s="473"/>
    </row>
    <row r="86" ht="19.5" customHeight="1">
      <c r="B86" s="936" t="s">
        <v>1908</v>
      </c>
      <c r="C86" s="964">
        <f>10+IF(R27="ТЕНЬ", -40,0)+IF(G57=TRUE, -36,0)+IF(G58=TRUE, -20,0)+IF(G60=TRUE, -55,0)+IF(G73=TRUE, -20,0)+IF(T73=TRUE, -40, 0)</f>
        <v>10</v>
      </c>
      <c r="D86" s="938" t="s">
        <v>2109</v>
      </c>
      <c r="E86" s="939">
        <f>10+IF(G73=TRUE, -20,0)+IF(G74=TRUE, -35,0)+IF(G68=TRUE, -30,0)</f>
        <v>10</v>
      </c>
      <c r="F86" s="473"/>
      <c r="G86" s="473"/>
      <c r="H86" s="473"/>
      <c r="I86" s="897" t="s">
        <v>1907</v>
      </c>
      <c r="J86" s="949">
        <f>R13+R38+E71+IF(G77=TRUE, 15,0)+IF(P76=TRUE, 16, 0)</f>
        <v>0</v>
      </c>
      <c r="K86" s="897" t="s">
        <v>2124</v>
      </c>
      <c r="L86" s="965">
        <f>E68+IF(G70=TRUE, 2630,0)+IF(G68=TRUE, 258,0)+IF(T79=TRUE, 1200, 0)</f>
        <v>0</v>
      </c>
      <c r="M86" s="961" t="s">
        <v>2125</v>
      </c>
      <c r="N86" s="901" t="str">
        <f t="shared" si="14"/>
        <v/>
      </c>
      <c r="O86" s="473"/>
      <c r="P86" s="473"/>
      <c r="Q86" s="962"/>
      <c r="R86" s="962"/>
      <c r="S86" s="473"/>
      <c r="T86" s="473"/>
    </row>
    <row r="87" ht="19.5" customHeight="1">
      <c r="B87" s="944" t="s">
        <v>2114</v>
      </c>
      <c r="C87" s="963">
        <f>10+IF(R27="ТЕНЬ", -40,0)+IF(G57=TRUE, -36,0)+IF(G65=TRUE, -40,0)+IF(G73=TRUE, -20,0)+IF(G74=TRUE, -35,0)+IF(T73=TRUE, -40, 0)</f>
        <v>10</v>
      </c>
      <c r="D87" s="860" t="s">
        <v>1914</v>
      </c>
      <c r="E87" s="945">
        <f>10+IF(C16=TRUE, -20, 0)+IF(G57=TRUE, -36,0)+IF(G73=TRUE, -20,0)+IF(G74=TRUE, -35,0)</f>
        <v>-10</v>
      </c>
      <c r="F87" s="473"/>
      <c r="G87" s="473"/>
      <c r="H87" s="473"/>
      <c r="I87" s="909" t="s">
        <v>1910</v>
      </c>
      <c r="J87" s="946">
        <f>(R14+R39+E72)+IF(P76=TRUE, 16, 0)</f>
        <v>0</v>
      </c>
      <c r="K87" s="966" t="s">
        <v>2126</v>
      </c>
      <c r="L87" s="967">
        <f>(R16+R34+C63+IF(D16=TRUE, 15,0)+IF(G54=TRUE, 65,0)+IF(G61=TRUE, 25,0)+IF(G62=TRUE, 24,0)+IF(G69=TRUE, 22.5,0)+IF(G72=TRUE, 12,0)+IF(P79=TRUE, 28, 0))</f>
        <v>0</v>
      </c>
      <c r="M87" s="968" t="s">
        <v>2127</v>
      </c>
      <c r="N87" s="1094">
        <v>162.0</v>
      </c>
      <c r="O87" s="473"/>
      <c r="P87" s="473"/>
      <c r="Q87" s="962"/>
      <c r="R87" s="962"/>
      <c r="S87" s="473"/>
      <c r="T87" s="473"/>
    </row>
    <row r="88" ht="19.5" customHeight="1">
      <c r="B88" s="936" t="s">
        <v>1911</v>
      </c>
      <c r="C88" s="964">
        <f>10+IF(R27="ТЕНЬ", -40,0)+IF(G57=TRUE, -36,0)+IF(G60=TRUE, -55,0)+IF(G73=TRUE, -20,0)+IF(T73=TRUE, -40, 0)</f>
        <v>10</v>
      </c>
      <c r="D88" s="938" t="s">
        <v>2119</v>
      </c>
      <c r="E88" s="939">
        <f>10+IF(G73=TRUE, -20,0)+IF(E89=TRUE, -40,0)</f>
        <v>10</v>
      </c>
      <c r="F88" s="473"/>
      <c r="G88" s="473"/>
      <c r="H88" s="473"/>
      <c r="I88" s="970" t="s">
        <v>1913</v>
      </c>
      <c r="J88" s="971">
        <f>(R15+R40+E73)+IF(P76=TRUE, 16, 0)+IF(R73=TRUE, 28, 0)</f>
        <v>0</v>
      </c>
      <c r="K88" s="972" t="s">
        <v>1939</v>
      </c>
      <c r="L88" s="973" t="str">
        <f t="shared" ref="L88:L92" si="15">R21</f>
        <v/>
      </c>
      <c r="M88" s="473"/>
      <c r="N88" s="473"/>
      <c r="O88" s="473"/>
      <c r="P88" s="473"/>
      <c r="Q88" s="962"/>
      <c r="R88" s="962"/>
      <c r="S88" s="473"/>
      <c r="T88" s="473"/>
    </row>
    <row r="89" ht="19.5" customHeight="1">
      <c r="B89" s="974" t="s">
        <v>2128</v>
      </c>
      <c r="C89" s="975"/>
      <c r="D89" s="975"/>
      <c r="E89" s="976" t="b">
        <v>0</v>
      </c>
      <c r="F89" s="473"/>
      <c r="G89" s="473"/>
      <c r="H89" s="473"/>
      <c r="I89" s="977" t="s">
        <v>1938</v>
      </c>
      <c r="J89" s="978" t="str">
        <f>P21</f>
        <v/>
      </c>
      <c r="K89" s="979" t="s">
        <v>1942</v>
      </c>
      <c r="L89" s="980" t="str">
        <f t="shared" si="15"/>
        <v/>
      </c>
      <c r="M89" s="473"/>
      <c r="N89" s="473"/>
      <c r="O89" s="473"/>
      <c r="P89" s="473"/>
      <c r="Q89" s="473"/>
      <c r="R89" s="473"/>
      <c r="S89" s="473"/>
      <c r="T89" s="473"/>
    </row>
    <row r="90" ht="19.5" customHeight="1">
      <c r="B90" s="473"/>
      <c r="C90" s="473"/>
      <c r="D90" s="473"/>
      <c r="E90" s="473"/>
      <c r="F90" s="473"/>
      <c r="G90" s="473"/>
      <c r="H90" s="473"/>
      <c r="I90" s="981" t="s">
        <v>1941</v>
      </c>
      <c r="J90" s="982">
        <f>P22+IF(F49=TRUE,70,0)</f>
        <v>0</v>
      </c>
      <c r="K90" s="983" t="s">
        <v>1946</v>
      </c>
      <c r="L90" s="984" t="str">
        <f t="shared" si="15"/>
        <v/>
      </c>
      <c r="M90" s="473"/>
      <c r="N90" s="473"/>
      <c r="O90" s="473"/>
      <c r="P90" s="473"/>
      <c r="Q90" s="473"/>
      <c r="R90" s="473"/>
      <c r="S90" s="473"/>
      <c r="T90" s="473"/>
    </row>
    <row r="91" ht="19.5" customHeight="1">
      <c r="B91" s="473"/>
      <c r="C91" s="473"/>
      <c r="D91" s="473"/>
      <c r="E91" s="473"/>
      <c r="F91" s="473"/>
      <c r="G91" s="473"/>
      <c r="H91" s="473"/>
      <c r="I91" s="985" t="s">
        <v>1945</v>
      </c>
      <c r="J91" s="538" t="str">
        <f t="shared" ref="J91:J93" si="16">P23</f>
        <v/>
      </c>
      <c r="K91" s="979" t="s">
        <v>1948</v>
      </c>
      <c r="L91" s="980" t="str">
        <f t="shared" si="15"/>
        <v/>
      </c>
      <c r="M91" s="473"/>
      <c r="N91" s="473"/>
      <c r="O91" s="473"/>
      <c r="P91" s="473"/>
      <c r="Q91" s="473"/>
      <c r="R91" s="473"/>
      <c r="S91" s="473"/>
      <c r="T91" s="473"/>
    </row>
    <row r="92" ht="19.5" customHeight="1">
      <c r="B92" s="473"/>
      <c r="C92" s="473"/>
      <c r="D92" s="473"/>
      <c r="E92" s="473"/>
      <c r="F92" s="473"/>
      <c r="G92" s="473"/>
      <c r="H92" s="473"/>
      <c r="I92" s="981" t="s">
        <v>1947</v>
      </c>
      <c r="J92" s="982" t="str">
        <f t="shared" si="16"/>
        <v/>
      </c>
      <c r="K92" s="986" t="s">
        <v>1951</v>
      </c>
      <c r="L92" s="987" t="str">
        <f t="shared" si="15"/>
        <v/>
      </c>
      <c r="M92" s="473"/>
      <c r="N92" s="473"/>
      <c r="O92" s="473"/>
      <c r="P92" s="473"/>
      <c r="Q92" s="473"/>
      <c r="R92" s="473"/>
      <c r="S92" s="473"/>
      <c r="T92" s="473"/>
    </row>
    <row r="93" ht="19.5" customHeight="1">
      <c r="B93" s="473"/>
      <c r="C93" s="473"/>
      <c r="D93" s="473"/>
      <c r="E93" s="473"/>
      <c r="F93" s="473"/>
      <c r="G93" s="473"/>
      <c r="H93" s="473"/>
      <c r="I93" s="988" t="s">
        <v>1950</v>
      </c>
      <c r="J93" s="989" t="str">
        <f t="shared" si="16"/>
        <v/>
      </c>
      <c r="K93" s="473"/>
      <c r="L93" s="473"/>
      <c r="M93" s="473"/>
      <c r="N93" s="473"/>
      <c r="O93" s="473"/>
      <c r="P93" s="473"/>
      <c r="Q93" s="473"/>
      <c r="R93" s="473"/>
      <c r="S93" s="473"/>
      <c r="T93" s="473"/>
    </row>
    <row r="94" ht="19.5" customHeight="1">
      <c r="B94" s="473"/>
    </row>
    <row r="95" ht="19.5" customHeight="1">
      <c r="B95" s="990" t="s">
        <v>2129</v>
      </c>
      <c r="C95" s="991"/>
      <c r="D95" s="991"/>
      <c r="E95" s="991"/>
      <c r="F95" s="991"/>
      <c r="G95" s="991"/>
      <c r="H95" s="992"/>
      <c r="I95" s="582" t="s">
        <v>2130</v>
      </c>
      <c r="J95" s="583"/>
      <c r="K95" s="583"/>
      <c r="L95" s="583"/>
      <c r="M95" s="583"/>
      <c r="N95" s="584"/>
      <c r="O95" s="473"/>
      <c r="P95" s="993" t="s">
        <v>2131</v>
      </c>
      <c r="Q95" s="994"/>
      <c r="R95" s="994"/>
      <c r="S95" s="994"/>
      <c r="T95" s="995"/>
    </row>
    <row r="96" ht="19.5" customHeight="1">
      <c r="B96" s="996"/>
      <c r="C96" s="774"/>
      <c r="D96" s="774"/>
      <c r="E96" s="774"/>
      <c r="F96" s="774"/>
      <c r="G96" s="774"/>
      <c r="H96" s="997"/>
      <c r="I96" s="593"/>
      <c r="J96" s="594"/>
      <c r="K96" s="594"/>
      <c r="L96" s="594"/>
      <c r="M96" s="594"/>
      <c r="N96" s="595"/>
      <c r="P96" s="998"/>
      <c r="Q96" s="999"/>
      <c r="R96" s="999"/>
      <c r="S96" s="999"/>
      <c r="T96" s="1000"/>
    </row>
    <row r="97" ht="19.5" customHeight="1">
      <c r="B97" s="1001" t="s">
        <v>78</v>
      </c>
      <c r="C97" s="1002"/>
      <c r="D97" s="1003" t="s">
        <v>2132</v>
      </c>
      <c r="E97" s="779" t="s">
        <v>2133</v>
      </c>
      <c r="F97" s="779" t="s">
        <v>1926</v>
      </c>
      <c r="G97" s="778" t="s">
        <v>2134</v>
      </c>
      <c r="H97" s="1004" t="s">
        <v>69</v>
      </c>
      <c r="I97" s="1005" t="s">
        <v>2135</v>
      </c>
      <c r="J97" s="1006" t="s">
        <v>2132</v>
      </c>
      <c r="K97" s="1007" t="s">
        <v>2133</v>
      </c>
      <c r="L97" s="1007" t="s">
        <v>1926</v>
      </c>
      <c r="M97" s="1008" t="s">
        <v>2136</v>
      </c>
      <c r="N97" s="1009" t="s">
        <v>69</v>
      </c>
      <c r="P97" s="1010" t="s">
        <v>1925</v>
      </c>
      <c r="Q97" s="1007" t="s">
        <v>2137</v>
      </c>
      <c r="R97" s="1011" t="s">
        <v>2138</v>
      </c>
      <c r="S97" s="1012" t="s">
        <v>2139</v>
      </c>
      <c r="T97" s="1013" t="s">
        <v>2087</v>
      </c>
    </row>
    <row r="98" ht="19.5" customHeight="1">
      <c r="B98" s="1014" t="s">
        <v>2140</v>
      </c>
      <c r="C98" s="544"/>
      <c r="D98" s="1015">
        <f>ROUND(J98*2*(1+(2.78*J75)/(1400+J75)+P29%),0)</f>
        <v>15648</v>
      </c>
      <c r="E98" s="817">
        <f>ROUND(K98*2*(1+(2.78*J75)/(1400+J75)+P29%),0)</f>
        <v>53694</v>
      </c>
      <c r="F98" s="1016">
        <f>ROUND(L98*2*(1+(2.78*J75)/(1400+J75)+P29%),0)</f>
        <v>51337</v>
      </c>
      <c r="G98" s="1017">
        <f>ROUND(2*(1+(2.78*J75)/(1400+J75)+N73%),2)</f>
        <v>2.9</v>
      </c>
      <c r="H98" s="1018" t="s">
        <v>2141</v>
      </c>
      <c r="I98" s="627" t="str">
        <f t="shared" ref="I98:I124" si="17">S98</f>
        <v>ЕШКА</v>
      </c>
      <c r="J98" s="1019">
        <f t="array" ref="J98">ROUND((CHOOSE(MATCH(LOWER(TRIM(M98)),{"СА";"СА+ХП";"СА+МС";"СА+ЗЩ";"ХП";"ЗЩ"}, 0), J74,J74,J74,J74,J78,J79)*Q98%+CHOOSE(MATCH(LOWER(TRIM(M98)),{"СА";"СА+ХП";"СА+МС";"СА+ЗЩ";"ХП";"ЗЩ"}, 0), 0,J78,J75,J79,0,0)*R98%+IF(L19=TRUE,L86+ 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УДАР"},0),J84%,J85%,J86%,J87%,J88%,0))*(1-CHOOSE(MATCH(LOWER(TRIM(N98)),{"КРИО";"ПИРО";"ЭЛЕКТРО";"ГИДРО";"АНЕМО";"ГЕО";"ДЕНДРО";"ФИЗУХА"}, 0), C83,C80,C82,C81,E81,E82,E80,E83)%)*(D79),0)</f>
        <v>5398</v>
      </c>
      <c r="K98" s="1020">
        <f t="array" ref="K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УДАР"},0),L84,L85,L81,L82,L83,0),0))*(1+L87%+CHOOSE(MATCH(LOWER(TRIM(N98)),{"КРИО";"ПИРО";"ЭЛЕКТРО";"ГИДРО";"АНЕМО";"ГЕО";"ДЕНДРО";"ФИЗУХА"}, 0), L76,L73,L75,L74,L78,L77,L79,L80)%+CHOOSE(MATCH(LOWER(TRIM(S98)),{"ЕШКА";"УЛЬТА";"ОБ. УДАРЫ";"ЗАР. УДАРЫ";"ПРЫЖКИ";"УНИК. УДАР"},0),J84%,J85%,J86%,J87%,J88%,0))*(1+J76%)*(1-CHOOSE(MATCH(LOWER(TRIM(N98)),{"КРИО";"ПИРО";"ЭЛЕКТРО";"ГИДРО";"АНЕМО";"ГЕО";"ДЕНДРО";"ФИЗУХА"}, 0), C83,C80,C82,C81,E81,E82,E80,E83)%)*(D79),0)</f>
        <v>18522</v>
      </c>
      <c r="L98" s="1020">
        <f t="array" ref="L98">ROUND((CHOOSE(MATCH(LOWER(TRIM(M98)),{"СА";"СА+ХП";"СА+МС";"СА+ЗЩ";"ХП";"ЗЩ"}, 0), J74,J74,J74,J74,J78,J79)*Q98%+CHOOSE(MATCH(LOWER(TRIM(M98)),{"СА";"СА+ХП";"СА+МС";"СА+ЗЩ";"ХП";"ЗЩ"}, 0), 0,J78,J75,J79,0,0)*R98%+IF(L19=TRUE,L86+CHOOSE(MATCH(LOWER(TRIM(S98)),{"ЕШКА";"УЛЬТА";"ОБ. УДАРЫ";"ЗАР. УДАРЫ";"ПРЫЖКИ";"УНИК. УДАР"},0),L84,L85,L81,L82,L83,0),0)+CHOOSE(MATCH(LOWER(TRIM(J19)),{"ПАР";"ОБ.ПАР";"ТАЯНИЕ";"ОБ.ТАЯНИЕ";"ОБОСТР.";"РАЗРАСТ.";"НЕТ"}, 0), 0,0,0,0,D102,D103,0))*(1+L87%+CHOOSE(MATCH(LOWER(TRIM(N98)),{"КРИО";"ПИРО";"ЭЛЕКТРО";"ГИДРО";"АНЕМО";"ГЕО";"ДЕНДРО";"ФИЗУХА"}, 0), L76,L73,L75,L74,L78,L77,L79,L80)%+CHOOSE(MATCH(LOWER(TRIM(S98)),{"ЕШКА";"УЛЬТА";"ОБ. УДАРЫ";"ЗАР. УДАРЫ";"ПРЫЖКИ";"УНИК. УДАР"},0),J84%,J85%,J86%,J87%,J88%,0))*(1+(J76%+CHOOSE(MATCH(LOWER(TRIM(S98)),{"ЕШКА";"УЛЬТА";"ОБ. УДАРЫ";"ЗАР. УДАРЫ";"ПРЫЖКИ";"УНИК. УДАР"},0),J91,J92,J89,J90,J93,0)%)*MIN((J77%+CHOOSE(MATCH(LOWER(TRIM(S98)),{"ЕШКА";"УЛЬТА";"ОБ. УДАРЫ";"ЗАР. УДАРЫ";"ПРЫЖКИ";"УНИК. УДАР"},0),L90,L91,L88,L89,L92,0)%),100%))*(1-CHOOSE(MATCH(LOWER(TRIM(N98)),{"КРИО";"ПИРО";"ЭЛЕКТРО";"ГИДРО";"АНЕМО";"ГЕО";"ДЕНДРО";"ФИЗУХА"}, 0), C83,C80,C82,C81,E81,E82,E80,E83)%)*(D79),0)</f>
        <v>17709</v>
      </c>
      <c r="M98" s="638" t="s">
        <v>1330</v>
      </c>
      <c r="N98" s="1021" t="s">
        <v>2181</v>
      </c>
      <c r="P98" s="627" t="str">
        <f t="shared" ref="P98:P124" si="18">S98</f>
        <v>ЕШКА</v>
      </c>
      <c r="Q98" s="1022">
        <v>30.1</v>
      </c>
      <c r="R98" s="1023"/>
      <c r="S98" s="1024" t="s">
        <v>1898</v>
      </c>
      <c r="T98" s="1025" t="s">
        <v>2143</v>
      </c>
    </row>
    <row r="99" ht="19.5" customHeight="1">
      <c r="B99" s="1026" t="s">
        <v>2144</v>
      </c>
      <c r="C99" s="544"/>
      <c r="D99" s="1027">
        <f>ROUND(J98*1.5*(1+(2.78*J75)/(1400+J75)+P29%),0)</f>
        <v>11736</v>
      </c>
      <c r="E99" s="630">
        <f>ROUND(K98*1.5*(1+(2.78*J75)/(1400+J75)+P29%),0)</f>
        <v>40270</v>
      </c>
      <c r="F99" s="573">
        <f>ROUND(L98*1.5*(1+(2.78*J75)/(1400+J75)+P29%),0)</f>
        <v>38503</v>
      </c>
      <c r="G99" s="1028">
        <f>ROUND(1.5*(1+(2.78*J75)/(1400+J75)+N73%),2)</f>
        <v>2.17</v>
      </c>
      <c r="H99" s="1029" t="s">
        <v>2145</v>
      </c>
      <c r="I99" s="627" t="str">
        <f t="shared" si="17"/>
        <v>ЕШКА</v>
      </c>
      <c r="J99" s="1030">
        <f t="array" ref="J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УДАР"},0),J84%,J85%,J86%,J87%,J88%,0))*(1-CHOOSE(MATCH(LOWER(TRIM(N99)),{"КРИО";"ПИРО";"ЭЛЕКТРО";"ГИДРО";"АНЕМО";"ГЕО";"ДЕНДРО";"ФИЗУХА"}, 0), C83,C80,C82,C81,E81,E82,E80,E83)%)*(D79),0)</f>
        <v>3013</v>
      </c>
      <c r="K99" s="1031">
        <f t="array" ref="K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УДАР"},0),L84,L85,L81,L82,L83,0),0))*(1+L87%+CHOOSE(MATCH(LOWER(TRIM(N99)),{"КРИО";"ПИРО";"ЭЛЕКТРО";"ГИДРО";"АНЕМО";"ГЕО";"ДЕНДРО";"ФИЗУХА"}, 0), L76,L73,L75,L74,L78,L77,L79,L80)%+CHOOSE(MATCH(LOWER(TRIM(S99)),{"ЕШКА";"УЛЬТА";"ОБ. УДАРЫ";"ЗАР. УДАРЫ";"ПРЫЖКИ";"УНИК. УДАР"},0),J84%,J85%,J86%,J87%,J88%,0))*(1+J76%)*(1-CHOOSE(MATCH(LOWER(TRIM(N99)),{"КРИО";"ПИРО";"ЭЛЕКТРО";"ГИДРО";"АНЕМО";"ГЕО";"ДЕНДРО";"ФИЗУХА"}, 0), C83,C80,C82,C81,E81,E82,E80,E83)%)*(D79),0)</f>
        <v>10338</v>
      </c>
      <c r="L99" s="1031">
        <f t="array" ref="L99">ROUND((CHOOSE(MATCH(LOWER(TRIM(M99)),{"СА";"СА+ХП";"СА+МС";"СА+ЗЩ";"ХП";"ЗЩ"}, 0), J74,J74,J74,J74,J78,J79)*Q99%+CHOOSE(MATCH(LOWER(TRIM(M99)),{"СА";"СА+ХП";"СА+МС";"СА+ЗЩ";"ХП";"ЗЩ"}, 0), 0,J78,J75,J79,0,0)*R99%+IF(L20=TRUE,L86+CHOOSE(MATCH(LOWER(TRIM(S99)),{"ЕШКА";"УЛЬТА";"ОБ. УДАРЫ";"ЗАР. УДАРЫ";"ПРЫЖКИ";"УНИК. УДАР"},0),L84,L85,L81,L82,L83,0),0)+CHOOSE(MATCH(LOWER(TRIM(J20)),{"ПАР";"ОБ.ПАР";"ТАЯНИЕ";"ОБ.ТАЯНИЕ";"ОБОСТР.";"РАЗРАСТ.";"НЕТ"}, 0), 0,0,0,0,D102,D103,0))*(1+L87%+CHOOSE(MATCH(LOWER(TRIM(N99)),{"КРИО";"ПИРО";"ЭЛЕКТРО";"ГИДРО";"АНЕМО";"ГЕО";"ДЕНДРО";"ФИЗУХА"}, 0), L76,L73,L75,L74,L78,L77,L79,L80)%+CHOOSE(MATCH(LOWER(TRIM(S99)),{"ЕШКА";"УЛЬТА";"ОБ. УДАРЫ";"ЗАР. УДАРЫ";"ПРЫЖКИ";"УНИК. УДАР"},0),J84%,J85%,J86%,J87%,J88%,0))*(1+(J76%+CHOOSE(MATCH(LOWER(TRIM(S99)),{"ЕШКА";"УЛЬТА";"ОБ. УДАРЫ";"ЗАР. УДАРЫ";"ПРЫЖКИ";"УНИК. УДАР"},0),J91,J92,J89,J90,J93,0)%)*MIN((J77%+CHOOSE(MATCH(LOWER(TRIM(S99)),{"ЕШКА";"УЛЬТА";"ОБ. УДАРЫ";"ЗАР. УДАРЫ";"ПРЫЖКИ";"УНИК. УДАР"},0),L90,L91,L88,L89,L92,0)%),100%))*(1-CHOOSE(MATCH(LOWER(TRIM(N99)),{"КРИО";"ПИРО";"ЭЛЕКТРО";"ГИДРО";"АНЕМО";"ГЕО";"ДЕНДРО";"ФИЗУХА"}, 0), C83,C80,C82,C81,E81,E82,E80,E83)%)*(D79),0)</f>
        <v>9884</v>
      </c>
      <c r="M99" s="629" t="s">
        <v>1330</v>
      </c>
      <c r="N99" s="1021" t="s">
        <v>2181</v>
      </c>
      <c r="P99" s="627" t="str">
        <f t="shared" si="18"/>
        <v>ЕШКА</v>
      </c>
      <c r="Q99" s="1032">
        <v>16.8</v>
      </c>
      <c r="R99" s="1033"/>
      <c r="S99" s="1024" t="s">
        <v>1898</v>
      </c>
      <c r="T99" s="1025" t="s">
        <v>2143</v>
      </c>
    </row>
    <row r="100" ht="19.5" customHeight="1">
      <c r="B100" s="1014" t="s">
        <v>2146</v>
      </c>
      <c r="C100" s="544"/>
      <c r="D100" s="1015">
        <f>ROUND(J98*2*(1+(2.78*J75)/(1400+J75)+P30%),0)</f>
        <v>15648</v>
      </c>
      <c r="E100" s="817">
        <f>ROUND(K98*2*(1+(2.78*J75)/(1400+J75)+P30%),0)</f>
        <v>53694</v>
      </c>
      <c r="F100" s="1016">
        <f>ROUND(L98*2*(1+(2.78*J75)/(1400+J75)+P30%),0)</f>
        <v>51337</v>
      </c>
      <c r="G100" s="1017">
        <f>ROUND(2*(1+(2.78*J75)/(1400+J75)+N74%),2)</f>
        <v>2.9</v>
      </c>
      <c r="H100" s="1018" t="s">
        <v>2147</v>
      </c>
      <c r="I100" s="627" t="str">
        <f t="shared" si="17"/>
        <v>ЕШКА</v>
      </c>
      <c r="J100" s="1034">
        <f t="array" ref="J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УДАР"},0),J84%,J85%,J86%,J87%,J88%,0))*(1-CHOOSE(MATCH(LOWER(TRIM(N100)),{"КРИО";"ПИРО";"ЭЛЕКТРО";"ГИДРО";"АНЕМО";"ГЕО";"ДЕНДРО";"ФИЗУХА"}, 0), C83,C80,C82,C81,E81,E82,E80,E83)%)*(D79),0)</f>
        <v>84</v>
      </c>
      <c r="K100" s="1020">
        <f t="array" ref="K100">ROUND((CHOOSE(MATCH(LOWER(TRIM(M100)),{"СА";"СА+ХП";"СА+МС";"СА+ЗЩ";"ХП";"ЗЩ"}, 0), J74,J74,J74,J74,J78,J79)*Q100%+CHOOSE(MATCH(LOWER(TRIM(M100)),{"СА";"СА+ХП";"СА+МС";"СА+ЗЩ";"ХП";"ЗЩ"}, 0), 0,J78,J75,J79,0,0)*R100%+IF(L21=TRUE,L86+CHOOSE(MATCH(LOWER(TRIM(S100)),{"ЕШКА";"УЛЬТА";"ОБ. УДАРЫ";"ЗАР. УДАРЫ";"ПРЫЖКИ";"УНИК. УДАР"},0),L84,L85,L81,L82,L83,0),0))*(1+L87%+CHOOSE(MATCH(LOWER(TRIM(N100)),{"КРИО";"ПИРО";"ЭЛЕКТРО";"ГИДРО";"АНЕМО";"ГЕО";"ДЕНДРО";"ФИЗУХА"}, 0), L76,L73,L75,L74,L78,L77,L79,L80)%+CHOOSE(MATCH(LOWER(TRIM(S100)),{"ЕШКА";"УЛЬТА";"ОБ. УДАРЫ";"ЗАР. УДАРЫ";"ПРЫЖКИ";"УНИК. УДАР"},0),J84%,J85%,J86%,J87%,J88%,0))*(1+J76%)*(1-CHOOSE(MATCH(LOWER(TRIM(N100)),{"КРИО";"ПИРО";"ЭЛЕКТРО";"ГИДРО";"АНЕМО";"ГЕО";"ДЕНДРО";"ФИЗУХА"}, 0), C83,C80,C82,C81,E81,E82,E80,E83)%)*(D79),0)</f>
        <v>289</v>
      </c>
      <c r="L100" s="1020">
        <f>ROUND(3*(Q100%*J78)*(1+MIN((D94+F94)*0.00007, 0.28))*(1+(60%+J76%)*J77%)*(1+(6*J75)/(2000+J75)+N81%)*(1-C87%),0)</f>
        <v>121202</v>
      </c>
      <c r="M100" s="629" t="s">
        <v>125</v>
      </c>
      <c r="N100" s="1021" t="s">
        <v>2181</v>
      </c>
      <c r="P100" s="627" t="str">
        <f t="shared" si="18"/>
        <v>ЕШКА</v>
      </c>
      <c r="Q100" s="1022">
        <v>9.99</v>
      </c>
      <c r="R100" s="1023"/>
      <c r="S100" s="1024" t="s">
        <v>1898</v>
      </c>
      <c r="T100" s="1025" t="s">
        <v>2143</v>
      </c>
    </row>
    <row r="101" ht="19.5" customHeight="1">
      <c r="B101" s="1026" t="s">
        <v>2148</v>
      </c>
      <c r="C101" s="544"/>
      <c r="D101" s="1027">
        <f>ROUND(J98*1.5*(1+(2.78*J75)/(1400+J75)+P30%),0)</f>
        <v>11736</v>
      </c>
      <c r="E101" s="630">
        <f>ROUND(K98*1.5*(1+(2.78*J75)/(1400+J75)+P30%),0)</f>
        <v>40270</v>
      </c>
      <c r="F101" s="573">
        <f>ROUND(L98*1.5*(1+(2.78*J75)/(1400+J75)+P30%),0)</f>
        <v>38503</v>
      </c>
      <c r="G101" s="1028">
        <f>ROUND(1.5*(1+(2.78*J75)/(1400+J75)+N74%),2)</f>
        <v>2.17</v>
      </c>
      <c r="H101" s="1029" t="s">
        <v>2149</v>
      </c>
      <c r="I101" s="627" t="str">
        <f t="shared" si="17"/>
        <v>ЕШКА</v>
      </c>
      <c r="J101" s="1030">
        <f t="array" ref="J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УДАР"},0),J84%,J85%,J86%,J87%,J88%,0))*(1-CHOOSE(MATCH(LOWER(TRIM(N101)),{"КРИО";"ПИРО";"ЭЛЕКТРО";"ГИДРО";"АНЕМО";"ГЕО";"ДЕНДРО";"ФИЗУХА"}, 0), C83,C80,C82,C81,E81,E82,E80,E83)%)*(D79),0)</f>
        <v>30</v>
      </c>
      <c r="K101" s="1031">
        <f t="array" ref="K101">ROUND((CHOOSE(MATCH(LOWER(TRIM(M101)),{"СА";"СА+ХП";"СА+МС";"СА+ЗЩ";"ХП";"ЗЩ"}, 0), J74,J74,J74,J74,J78,J79)*Q101%+CHOOSE(MATCH(LOWER(TRIM(M101)),{"СА";"СА+ХП";"СА+МС";"СА+ЗЩ";"ХП";"ЗЩ"}, 0), 0,J78,J75,J79,0,0)*R101%+IF(L22=TRUE,L86+CHOOSE(MATCH(LOWER(TRIM(S101)),{"ЕШКА";"УЛЬТА";"ОБ. УДАРЫ";"ЗАР. УДАРЫ";"ПРЫЖКИ";"УНИК. УДАР"},0),L84,L85,L81,L82,L83,0),0))*(1+L87%+CHOOSE(MATCH(LOWER(TRIM(N101)),{"КРИО";"ПИРО";"ЭЛЕКТРО";"ГИДРО";"АНЕМО";"ГЕО";"ДЕНДРО";"ФИЗУХА"}, 0), L76,L73,L75,L74,L78,L77,L79,L80)%+CHOOSE(MATCH(LOWER(TRIM(S101)),{"ЕШКА";"УЛЬТА";"ОБ. УДАРЫ";"ЗАР. УДАРЫ";"ПРЫЖКИ";"УНИК. УДАР"},0),J84%,J85%,J86%,J87%,J88%,0))*(1+J76%)*(1-CHOOSE(MATCH(LOWER(TRIM(N101)),{"КРИО";"ПИРО";"ЭЛЕКТРО";"ГИДРО";"АНЕМО";"ГЕО";"ДЕНДРО";"ФИЗУХА"}, 0), C83,C80,C82,C81,E81,E82,E80,E83)%)*(D79),0)</f>
        <v>104</v>
      </c>
      <c r="L101" s="1031">
        <f>ROUND(((Q101%*J78)*(1+MIN(K68*0.00035, 0.28))*(1+(6*J75)/(2000+J75)+N77%)+(1-E85%))*(1+(60%+J76%)*(J77%)),0)</f>
        <v>16180</v>
      </c>
      <c r="M101" s="629" t="s">
        <v>125</v>
      </c>
      <c r="N101" s="1021" t="s">
        <v>2181</v>
      </c>
      <c r="P101" s="627" t="str">
        <f t="shared" si="18"/>
        <v>ЕШКА</v>
      </c>
      <c r="Q101" s="1032">
        <v>3.6</v>
      </c>
      <c r="R101" s="1033"/>
      <c r="S101" s="1024" t="s">
        <v>1898</v>
      </c>
      <c r="T101" s="1025" t="s">
        <v>2143</v>
      </c>
    </row>
    <row r="102" ht="19.5" customHeight="1">
      <c r="B102" s="1014" t="s">
        <v>2150</v>
      </c>
      <c r="C102" s="544"/>
      <c r="D102" s="1035">
        <f t="array" ref="D102">ROUND(1.15*(CHOOSE(MATCH(LOWER(TRIM(B23)),{"УРОВЕНЬ 100";"УРОВЕНЬ 95";"УРОВЕНЬ 90";"УРОВЕНЬ 80"},0),1674.8092,1561.468,1446.85,1077.44)*(1+(5*J75)/(1200+J75)+N75%)),0)</f>
        <v>3192</v>
      </c>
      <c r="E102" s="817" t="s">
        <v>14</v>
      </c>
      <c r="F102" s="1016" t="s">
        <v>14</v>
      </c>
      <c r="G102" s="816" t="s">
        <v>14</v>
      </c>
      <c r="H102" s="1018" t="s">
        <v>560</v>
      </c>
      <c r="I102" s="627" t="str">
        <f t="shared" si="17"/>
        <v>ЕШКА</v>
      </c>
      <c r="J102" s="1034">
        <f t="array" ref="J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УДАР"},0),J84%,J85%,J86%,J87%,J88%,0))*(1-CHOOSE(MATCH(LOWER(TRIM(N102)),{"КРИО";"ПИРО";"ЭЛЕКТРО";"ГИДРО";"АНЕМО";"ГЕО";"ДЕНДРО";"ФИЗУХА"}, 0), C83,C80,C82,C81,E81,E82,E80,E83)%)*(D79),0)</f>
        <v>158</v>
      </c>
      <c r="K102" s="1020">
        <f t="array" ref="K102">ROUND((CHOOSE(MATCH(LOWER(TRIM(M102)),{"СА";"СА+ХП";"СА+МС";"СА+ЗЩ";"ХП";"ЗЩ"}, 0), J74,J74,J74,J74,J78,J79)*Q102%+CHOOSE(MATCH(LOWER(TRIM(M102)),{"СА";"СА+ХП";"СА+МС";"СА+ЗЩ";"ХП";"ЗЩ"}, 0), 0,J78,J75,J79,0,0)*R102%+IF(L23=TRUE,L86+CHOOSE(MATCH(LOWER(TRIM(S102)),{"ЕШКА";"УЛЬТА";"ОБ. УДАРЫ";"ЗАР. УДАРЫ";"ПРЫЖКИ";"УНИК. УДАР"},0),L84,L85,L81,L82,L83,0),0))*(1+L87%+CHOOSE(MATCH(LOWER(TRIM(N102)),{"КРИО";"ПИРО";"ЭЛЕКТРО";"ГИДРО";"АНЕМО";"ГЕО";"ДЕНДРО";"ФИЗУХА"}, 0), L76,L73,L75,L74,L78,L77,L79,L80)%+CHOOSE(MATCH(LOWER(TRIM(S102)),{"ЕШКА";"УЛЬТА";"ОБ. УДАРЫ";"ЗАР. УДАРЫ";"ПРЫЖКИ";"УНИК. УДАР"},0),J84%,J85%,J86%,J87%,J88%,0))*(1+J76%)*(1-CHOOSE(MATCH(LOWER(TRIM(N102)),{"КРИО";"ПИРО";"ЭЛЕКТРО";"ГИДРО";"АНЕМО";"ГЕО";"ДЕНДРО";"ФИЗУХА"}, 0), C83,C80,C82,C81,E81,E82,E80,E83)%)*(D79),0)</f>
        <v>543</v>
      </c>
      <c r="L102" s="1020">
        <f>ROUND(1.6*(Q102%*J78)*(1+MIN((K67+M67)*0.00007, 0.28))*(1+(J76%+60%)*J77%)*(1+(6*J75)/(2000+J75)+N87%)*(1-E87%),0)</f>
        <v>203889</v>
      </c>
      <c r="M102" s="629" t="s">
        <v>125</v>
      </c>
      <c r="N102" s="1021" t="s">
        <v>2181</v>
      </c>
      <c r="P102" s="627" t="str">
        <f t="shared" si="18"/>
        <v>ЕШКА</v>
      </c>
      <c r="Q102" s="1022">
        <v>18.75</v>
      </c>
      <c r="R102" s="1023"/>
      <c r="S102" s="1024" t="s">
        <v>1898</v>
      </c>
      <c r="T102" s="1025" t="s">
        <v>2143</v>
      </c>
    </row>
    <row r="103" ht="19.5" customHeight="1">
      <c r="B103" s="1026" t="s">
        <v>2152</v>
      </c>
      <c r="C103" s="544"/>
      <c r="D103" s="1036">
        <f t="array" ref="D103">ROUND(1.25*(CHOOSE(MATCH(LOWER(TRIM(B23)),{"УРОВЕНЬ 100";"УРОВЕНЬ 95";"УРОВЕНЬ 90";"УРОВЕНЬ 80"},0),1674.8092,1561.468,1446.85,1077.44)*(1+(5*J75)/(1200+J75)+N75%)),0)</f>
        <v>3469</v>
      </c>
      <c r="E103" s="630" t="s">
        <v>14</v>
      </c>
      <c r="F103" s="573" t="s">
        <v>14</v>
      </c>
      <c r="G103" s="629" t="s">
        <v>14</v>
      </c>
      <c r="H103" s="1029" t="s">
        <v>569</v>
      </c>
      <c r="I103" s="627" t="str">
        <f t="shared" si="17"/>
        <v>ЗАР. УДАРЫ</v>
      </c>
      <c r="J103" s="1030">
        <f t="array" ref="J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УДАР"},0),J84%,J85%,J86%,J87%,J88%,0))*(1-CHOOSE(MATCH(LOWER(TRIM(N103)),{"КРИО";"ПИРО";"ЭЛЕКТРО";"ГИДРО";"АНЕМО";"ГЕО";"ДЕНДРО";"ФИЗУХА"}, 0), C83,C80,C82,C81,E81,E82,E80,E83)%)*(D79),0)</f>
        <v>0</v>
      </c>
      <c r="K103" s="1031">
        <f t="array" ref="K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УДАР"},0),L84,L85,L81,L82,L83,0),0))*(1+L87%+CHOOSE(MATCH(LOWER(TRIM(N103)),{"КРИО";"ПИРО";"ЭЛЕКТРО";"ГИДРО";"АНЕМО";"ГЕО";"ДЕНДРО";"ФИЗУХА"}, 0), L76,L73,L75,L74,L78,L77,L79,L80)%+CHOOSE(MATCH(LOWER(TRIM(S103)),{"ЕШКА";"УЛЬТА";"ОБ. УДАРЫ";"ЗАР. УДАРЫ";"ПРЫЖКИ";"УНИК. УДАР"},0),J84%,J85%,J86%,J87%,J88%,0))*(1+J76%)*(1-CHOOSE(MATCH(LOWER(TRIM(N103)),{"КРИО";"ПИРО";"ЭЛЕКТРО";"ГИДРО";"АНЕМО";"ГЕО";"ДЕНДРО";"ФИЗУХА"}, 0), C83,C80,C82,C81,E81,E82,E80,E83)%)*(D79),0)</f>
        <v>0</v>
      </c>
      <c r="L103" s="1031">
        <f t="array" ref="L103">ROUND((CHOOSE(MATCH(LOWER(TRIM(M103)),{"СА";"СА+ХП";"СА+МС";"СА+ЗЩ";"ХП";"ЗЩ"}, 0), J74,J74,J74,J74,J78,J79)*Q103%+CHOOSE(MATCH(LOWER(TRIM(M103)),{"СА";"СА+ХП";"СА+МС";"СА+ЗЩ";"ХП";"ЗЩ"}, 0), 0,J78,J75,J79,0,0)*R103%+IF(L24=TRUE,L86+CHOOSE(MATCH(LOWER(TRIM(S103)),{"ЕШКА";"УЛЬТА";"ОБ. УДАРЫ";"ЗАР. УДАРЫ";"ПРЫЖКИ";"УНИК. УДАР"},0),L84,L85,L81,L82,L83,0),0)+CHOOSE(MATCH(LOWER(TRIM(J24)),{"ПАР";"ОБ.ПАР";"ТАЯНИЕ";"ОБ.ТАЯНИЕ";"ОБОСТР.";"РАЗРАСТ.";"НЕТ"}, 0), 0,0,0,0,D102,D103,0))*(1+L87%+CHOOSE(MATCH(LOWER(TRIM(N103)),{"КРИО";"ПИРО";"ЭЛЕКТРО";"ГИДРО";"АНЕМО";"ГЕО";"ДЕНДРО";"ФИЗУХА"}, 0), L76,L73,L75,L74,L78,L77,L79,L80)%+CHOOSE(MATCH(LOWER(TRIM(S103)),{"ЕШКА";"УЛЬТА";"ОБ. УДАРЫ";"ЗАР. УДАРЫ";"ПРЫЖКИ";"УНИК. УДАР"},0),J84%,J85%,J86%,J87%,J88%,0))*(1+(J76%+CHOOSE(MATCH(LOWER(TRIM(S103)),{"ЕШКА";"УЛЬТА";"ОБ. УДАРЫ";"ЗАР. УДАРЫ";"ПРЫЖКИ";"УНИК. УДАР"},0),J91,J92,J89,J90,J93,0)%)*MIN((J77%+CHOOSE(MATCH(LOWER(TRIM(S103)),{"ЕШКА";"УЛЬТА";"ОБ. УДАРЫ";"ЗАР. УДАРЫ";"ПРЫЖКИ";"УНИК. УДАР"},0),L90,L91,L88,L89,L92,0)%),100%))*(1-CHOOSE(MATCH(LOWER(TRIM(N103)),{"КРИО";"ПИРО";"ЭЛЕКТРО";"ГИДРО";"АНЕМО";"ГЕО";"ДЕНДРО";"ФИЗУХА"}, 0), C83,C80,C82,C81,E81,E82,E80,E83)%)*(D79),0)</f>
        <v>0</v>
      </c>
      <c r="M103" s="629" t="s">
        <v>2153</v>
      </c>
      <c r="N103" s="1021" t="s">
        <v>2181</v>
      </c>
      <c r="P103" s="627" t="str">
        <f t="shared" si="18"/>
        <v>ЗАР. УДАРЫ</v>
      </c>
      <c r="Q103" s="1032"/>
      <c r="R103" s="1033"/>
      <c r="S103" s="1024" t="s">
        <v>2151</v>
      </c>
      <c r="T103" s="1025" t="s">
        <v>2143</v>
      </c>
    </row>
    <row r="104" ht="19.5" customHeight="1">
      <c r="B104" s="1014" t="s">
        <v>2154</v>
      </c>
      <c r="C104" s="544"/>
      <c r="D104" s="1015">
        <v>0.0</v>
      </c>
      <c r="E104" s="817">
        <v>0.0</v>
      </c>
      <c r="F104" s="1016">
        <v>0.0</v>
      </c>
      <c r="G104" s="816" t="s">
        <v>14</v>
      </c>
      <c r="H104" s="1018" t="s">
        <v>159</v>
      </c>
      <c r="I104" s="627" t="str">
        <f t="shared" si="17"/>
        <v>УЛЬТА</v>
      </c>
      <c r="J104" s="1034">
        <f t="array" ref="J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УДАР"},0),J84%,J85%,J86%,J87%,J88%,0))*(1-CHOOSE(MATCH(LOWER(TRIM(N104)),{"КРИО";"ПИРО";"ЭЛЕКТРО";"ГИДРО";"АНЕМО";"ГЕО";"ДЕНДРО";"ФИЗУХА"}, 0), C83,C80,C82,C81,E81,E82,E80,E83)%)*(D79),0)</f>
        <v>10402</v>
      </c>
      <c r="K104" s="1020">
        <f t="array" ref="K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УДАР"},0),L84,L85,L81,L82,L83,0),0))*(1+L87%+CHOOSE(MATCH(LOWER(TRIM(N104)),{"КРИО";"ПИРО";"ЭЛЕКТРО";"ГИДРО";"АНЕМО";"ГЕО";"ДЕНДРО";"ФИЗУХА"}, 0), L76,L73,L75,L74,L78,L77,L79,L80)%+CHOOSE(MATCH(LOWER(TRIM(S104)),{"ЕШКА";"УЛЬТА";"ОБ. УДАРЫ";"ЗАР. УДАРЫ";"ПРЫЖКИ";"УНИК. УДАР"},0),J84%,J85%,J86%,J87%,J88%,0))*(1+J76%)*(1-CHOOSE(MATCH(LOWER(TRIM(N104)),{"КРИО";"ПИРО";"ЭЛЕКТРО";"ГИДРО";"АНЕМО";"ГЕО";"ДЕНДРО";"ФИЗУХА"}, 0), C83,C80,C82,C81,E81,E82,E80,E83)%)*(D79),0)</f>
        <v>35691</v>
      </c>
      <c r="L104" s="1020">
        <f t="array" ref="L104">ROUND((CHOOSE(MATCH(LOWER(TRIM(M104)),{"СА";"СА+ХП";"СА+МС";"СА+ЗЩ";"ХП";"ЗЩ"}, 0), J74,J74,J74,J74,J78,J79)*Q104%+CHOOSE(MATCH(LOWER(TRIM(M104)),{"СА";"СА+ХП";"СА+МС";"СА+ЗЩ";"ХП";"ЗЩ"}, 0), 0,J78,J75,J79,0,0)*R104%+IF(L25=TRUE,L86+CHOOSE(MATCH(LOWER(TRIM(S104)),{"ЕШКА";"УЛЬТА";"ОБ. УДАРЫ";"ЗАР. УДАРЫ";"ПРЫЖКИ";"УНИК. УДАР"},0),L84,L85,L81,L82,L83,0),0)+CHOOSE(MATCH(LOWER(TRIM(J25)),{"ПАР";"ОБ.ПАР";"ТАЯНИЕ";"ОБ.ТАЯНИЕ";"ОБОСТР.";"РАЗРАСТ.";"НЕТ"}, 0), 0,0,0,0,D102,D103,0))*(1+L87%+CHOOSE(MATCH(LOWER(TRIM(N104)),{"КРИО";"ПИРО";"ЭЛЕКТРО";"ГИДРО";"АНЕМО";"ГЕО";"ДЕНДРО";"ФИЗУХА"}, 0), L76,L73,L75,L74,L78,L77,L79,L80)%+CHOOSE(MATCH(LOWER(TRIM(S104)),{"ЕШКА";"УЛЬТА";"ОБ. УДАРЫ";"ЗАР. УДАРЫ";"ПРЫЖКИ";"УНИК. УДАР"},0),J84%,J85%,J86%,J87%,J88%,0))*(1+(J76%+CHOOSE(MATCH(LOWER(TRIM(S104)),{"ЕШКА";"УЛЬТА";"ОБ. УДАРЫ";"ЗАР. УДАРЫ";"ПРЫЖКИ";"УНИК. УДАР"},0),J91,J92,J89,J90,J93,0)%)*MIN((J77%+CHOOSE(MATCH(LOWER(TRIM(S104)),{"ЕШКА";"УЛЬТА";"ОБ. УДАРЫ";"ЗАР. УДАРЫ";"ПРЫЖКИ";"УНИК. УДАР"},0),L90,L91,L88,L89,L92,0)%),100%))*(1-CHOOSE(MATCH(LOWER(TRIM(N104)),{"КРИО";"ПИРО";"ЭЛЕКТРО";"ГИДРО";"АНЕМО";"ГЕО";"ДЕНДРО";"ФИЗУХА"}, 0), C83,C80,C82,C81,E81,E82,E80,E83)%)*(D79),0)</f>
        <v>34123</v>
      </c>
      <c r="M104" s="629" t="s">
        <v>1330</v>
      </c>
      <c r="N104" s="1021" t="s">
        <v>2181</v>
      </c>
      <c r="P104" s="627" t="str">
        <f t="shared" si="18"/>
        <v>УЛЬТА</v>
      </c>
      <c r="Q104" s="1022">
        <v>58.0</v>
      </c>
      <c r="R104" s="1023"/>
      <c r="S104" s="1024" t="s">
        <v>1902</v>
      </c>
      <c r="T104" s="1025" t="s">
        <v>2143</v>
      </c>
    </row>
    <row r="105" ht="19.5" customHeight="1">
      <c r="B105" s="1026" t="s">
        <v>2010</v>
      </c>
      <c r="C105" s="544"/>
      <c r="D105" s="338">
        <f t="array" ref="D105">ROUND(2*(CHOOSE(MATCH(LOWER(TRIM(B23)),{"УРОВЕНЬ 100";"УРОВЕНЬ 95";"УРОВЕНЬ 90";"УРОВЕНЬ 80"},0),1674.8092,1561.468,1446.85,1077.44)*(1+(16*J75)/(2000+J75)+N76%)*(1-E80%)),0)</f>
        <v>7561</v>
      </c>
      <c r="E105" s="338">
        <f t="array" ref="E105">ROUND(2*(CHOOSE(MATCH(LOWER(TRIM(B23)),{"УРОВЕНЬ 100";"УРОВЕНЬ 95";"УРОВЕНЬ 90";"УРОВЕНЬ 80"},0),1674.8092,1561.468,1446.85,1077.44)*(1+(16*J75)/(2000+J75)+N76%)*(1-E80%))*CHOOSE(MATCH(LOWER(TRIM(B105)),{"БУТОН";"БУТОН+С2(НАХ)";"БУТОН+А1(ЛАУ)";"БУТОН+С2+А1"},0), 1,2,2,2),0)</f>
        <v>7561</v>
      </c>
      <c r="F105" s="1040">
        <f t="array" ref="F105">ROUND(2*(CHOOSE(MATCH(LOWER(TRIM(B23)),{"УРОВЕНЬ 100";"УРОВЕНЬ 95";"УРОВЕНЬ 90";"УРОВЕНЬ 80"},0),1674.8092,1561.468,1446.85,1077.44)*(1+(16*J75)/(2000+J75)+N76%)*(1-E80%))*CHOOSE(MATCH(LOWER(TRIM(B105)),{"БУТОН";"БУТОН+С2(НАХ)";"БУТОН+А1(ЛАУ)";"БУТОН+С2+А1"},0), 1,1.2,1.15,1.45)+IF(G55=true,K68*500%,0),0)</f>
        <v>7561</v>
      </c>
      <c r="G105" s="1041" t="s">
        <v>14</v>
      </c>
      <c r="H105" s="1029" t="s">
        <v>569</v>
      </c>
      <c r="I105" s="627" t="str">
        <f t="shared" si="17"/>
        <v>УЛЬТА</v>
      </c>
      <c r="J105" s="1030">
        <f t="array" ref="J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УДАР"},0),J84%,J85%,J86%,J87%,J88%,0))*(1-CHOOSE(MATCH(LOWER(TRIM(N105)),{"КРИО";"ПИРО";"ЭЛЕКТРО";"ГИДРО";"АНЕМО";"ГЕО";"ДЕНДРО";"ФИЗУХА"}, 0), C83,C80,C82,C81,E81,E82,E80,E83)%)*(D79),0)</f>
        <v>0</v>
      </c>
      <c r="K105" s="1031">
        <f t="array" ref="K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УДАР"},0),L84,L85,L81,L82,L83,0),0))*(1+L87%+CHOOSE(MATCH(LOWER(TRIM(N105)),{"КРИО";"ПИРО";"ЭЛЕКТРО";"ГИДРО";"АНЕМО";"ГЕО";"ДЕНДРО";"ФИЗУХА"}, 0), L76,L73,L75,L74,L78,L77,L79,L80)%+CHOOSE(MATCH(LOWER(TRIM(S105)),{"ЕШКА";"УЛЬТА";"ОБ. УДАРЫ";"ЗАР. УДАРЫ";"ПРЫЖКИ";"УНИК. УДАР"},0),J84%,J85%,J86%,J87%,J88%,0))*(1+J76%)*(1-CHOOSE(MATCH(LOWER(TRIM(N105)),{"КРИО";"ПИРО";"ЭЛЕКТРО";"ГИДРО";"АНЕМО";"ГЕО";"ДЕНДРО";"ФИЗУХА"}, 0), C83,C80,C82,C81,E81,E82,E80,E83)%)*(D79),0)</f>
        <v>0</v>
      </c>
      <c r="L105" s="1031">
        <f t="array" ref="L105">ROUND((CHOOSE(MATCH(LOWER(TRIM(M105)),{"СА";"СА+ХП";"СА+МС";"СА+ЗЩ";"ХП";"ЗЩ"}, 0), J74,J74,J74,J74,J78,J79)*Q105%+CHOOSE(MATCH(LOWER(TRIM(M105)),{"СА";"СА+ХП";"СА+МС";"СА+ЗЩ";"ХП";"ЗЩ"}, 0), 0,J78,J75,J79,0,0)*R105%+IF(L26=TRUE,L86+CHOOSE(MATCH(LOWER(TRIM(S105)),{"ЕШКА";"УЛЬТА";"ОБ. УДАРЫ";"ЗАР. УДАРЫ";"ПРЫЖКИ";"УНИК. УДАР"},0),L84,L85,L81,L82,L83,0),0)+CHOOSE(MATCH(LOWER(TRIM(J26)),{"ПАР";"ОБ.ПАР";"ТАЯНИЕ";"ОБ.ТАЯНИЕ";"ОБОСТР.";"РАЗРАСТ.";"НЕТ"}, 0), 0,0,0,0,D102,D103,0))*(1+L87%+CHOOSE(MATCH(LOWER(TRIM(N105)),{"КРИО";"ПИРО";"ЭЛЕКТРО";"ГИДРО";"АНЕМО";"ГЕО";"ДЕНДРО";"ФИЗУХА"}, 0), L76,L73,L75,L74,L78,L77,L79,L80)%+CHOOSE(MATCH(LOWER(TRIM(S105)),{"ЕШКА";"УЛЬТА";"ОБ. УДАРЫ";"ЗАР. УДАРЫ";"ПРЫЖКИ";"УНИК. УДАР"},0),J84%,J85%,J86%,J87%,J88%,0))*(1+(J76%+CHOOSE(MATCH(LOWER(TRIM(S105)),{"ЕШКА";"УЛЬТА";"ОБ. УДАРЫ";"ЗАР. УДАРЫ";"ПРЫЖКИ";"УНИК. УДАР"},0),J91,J92,J89,J90,J93,0)%)*MIN((J77%+CHOOSE(MATCH(LOWER(TRIM(S105)),{"ЕШКА";"УЛЬТА";"ОБ. УДАРЫ";"ЗАР. УДАРЫ";"ПРЫЖКИ";"УНИК. УДАР"},0),L90,L91,L88,L89,L92,0)%),100%))*(1-CHOOSE(MATCH(LOWER(TRIM(N105)),{"КРИО";"ПИРО";"ЭЛЕКТРО";"ГИДРО";"АНЕМО";"ГЕО";"ДЕНДРО";"ФИЗУХА"}, 0), C83,C80,C82,C81,E81,E82,E80,E83)%)*(D79),0)</f>
        <v>0</v>
      </c>
      <c r="M105" s="629" t="s">
        <v>1330</v>
      </c>
      <c r="N105" s="1021" t="s">
        <v>2181</v>
      </c>
      <c r="P105" s="627" t="str">
        <f t="shared" si="18"/>
        <v>УЛЬТА</v>
      </c>
      <c r="Q105" s="1032"/>
      <c r="R105" s="1033"/>
      <c r="S105" s="1024" t="s">
        <v>1902</v>
      </c>
      <c r="T105" s="1025" t="s">
        <v>2143</v>
      </c>
    </row>
    <row r="106" ht="19.5" customHeight="1">
      <c r="B106" s="1026" t="s">
        <v>2014</v>
      </c>
      <c r="C106" s="544"/>
      <c r="D106" s="1035">
        <f t="array" ref="D106">ROUND(3*(CHOOSE(MATCH(LOWER(TRIM(B23)),{"УРОВЕНЬ 100";"УРОВЕНЬ 95";"УРОВЕНЬ 90";"УРОВЕНЬ 80"},0),1674.8092,1561.468,1446.85,1077.44)*(1+(16*J75)/(2000+J75)+N78%)*(1-E80%)),0)</f>
        <v>11341</v>
      </c>
      <c r="E106" s="1042">
        <f t="array" ref="E106">ROUND(3*(CHOOSE(MATCH(LOWER(TRIM(B23)),{"УРОВЕНЬ 100";"УРОВЕНЬ 95";"УРОВЕНЬ 90";"УРОВЕНЬ 80"},0),1674.8092,1561.468,1446.85,1077.44)*(1+(16*J75)/(2000+J75)+N78%)*(1-E80%))*CHOOSE(MATCH(LOWER(TRIM(B106)),{"ВЕГЕТАЦИЯ";"ВЕГЕТАЦИЯ+С2";"ВЕГЕТАЦИЯ+А1";"ВЕГЕТ.+С2+А1"},0), 1,2,2,2),0)</f>
        <v>11341</v>
      </c>
      <c r="F106" s="1043">
        <f t="array" ref="F106">ROUND(3*(CHOOSE(MATCH(LOWER(TRIM(B23)),{"УРОВЕНЬ 100";"УРОВЕНЬ 95";"УРОВЕНЬ 90";"УРОВЕНЬ 80"},0),1674.8092,1561.468,1446.85,1077.44)*(1+(16*J75)/(2000+J75)+N78%)*(1-E80%))*CHOOSE(MATCH(LOWER(TRIM(B106)),{"ВЕГЕТАЦИЯ";"ВЕГЕТАЦИЯ+С2";"ВЕГЕТАЦИЯ+А1";"ВЕГЕТ.+С2+А1"},0), 1,1.2,1.15,1.45)+IF(G55=true,K68*500%,0),0)</f>
        <v>11341</v>
      </c>
      <c r="G106" s="816" t="s">
        <v>14</v>
      </c>
      <c r="H106" s="1018" t="s">
        <v>569</v>
      </c>
      <c r="I106" s="627" t="str">
        <f t="shared" si="17"/>
        <v>ЕШКА</v>
      </c>
      <c r="J106" s="1034">
        <f t="array" ref="J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УДАР"},0),J84%,J85%,J86%,J87%,J88%,0))*(1-CHOOSE(MATCH(LOWER(TRIM(N106)),{"КРИО";"ПИРО";"ЭЛЕКТРО";"ГИДРО";"АНЕМО";"ГЕО";"ДЕНДРО";"ФИЗУХА"}, 0), C83,C80,C82,C81,E81,E82,E80,E83)%)*(D79),0)</f>
        <v>0</v>
      </c>
      <c r="K106" s="1020">
        <f t="array" ref="K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УДАР"},0),L84,L85,L81,L82,L83,0),0))*(1+L87%+CHOOSE(MATCH(LOWER(TRIM(N106)),{"КРИО";"ПИРО";"ЭЛЕКТРО";"ГИДРО";"АНЕМО";"ГЕО";"ДЕНДРО";"ФИЗУХА"}, 0), L76,L73,L75,L74,L78,L77,L79,L80)%+CHOOSE(MATCH(LOWER(TRIM(S106)),{"ЕШКА";"УЛЬТА";"ОБ. УДАРЫ";"ЗАР. УДАРЫ";"ПРЫЖКИ";"УНИК. УДАР"},0),J84%,J85%,J86%,J87%,J88%,0))*(1+J76%)*(1-CHOOSE(MATCH(LOWER(TRIM(N106)),{"КРИО";"ПИРО";"ЭЛЕКТРО";"ГИДРО";"АНЕМО";"ГЕО";"ДЕНДРО";"ФИЗУХА"}, 0), C83,C80,C82,C81,E81,E82,E80,E83)%)*(D79),0)</f>
        <v>0</v>
      </c>
      <c r="L106" s="1020">
        <f t="array" ref="L106">ROUND((CHOOSE(MATCH(LOWER(TRIM(M106)),{"СА";"СА+ХП";"СА+МС";"СА+ЗЩ";"ХП";"ЗЩ"}, 0), J74,J74,J74,J74,J78,J79)*Q106%+CHOOSE(MATCH(LOWER(TRIM(M106)),{"СА";"СА+ХП";"СА+МС";"СА+ЗЩ";"ХП";"ЗЩ"}, 0), 0,J78,J75,J79,0,0)*R106%+IF(L27=TRUE,L86+CHOOSE(MATCH(LOWER(TRIM(S106)),{"ЕШКА";"УЛЬТА";"ОБ. УДАРЫ";"ЗАР. УДАРЫ";"ПРЫЖКИ";"УНИК. УДАР"},0),L84,L85,L81,L82,L83,0),0)+CHOOSE(MATCH(LOWER(TRIM(J27)),{"ПАР";"ОБ.ПАР";"ТАЯНИЕ";"ОБ.ТАЯНИЕ";"ОБОСТР.";"РАЗРАСТ.";"НЕТ"}, 0), 0,0,0,0,D102,D103,0))*(1+L87%+CHOOSE(MATCH(LOWER(TRIM(N106)),{"КРИО";"ПИРО";"ЭЛЕКТРО";"ГИДРО";"АНЕМО";"ГЕО";"ДЕНДРО";"ФИЗУХА"}, 0), L76,L73,L75,L74,L78,L77,L79,L80)%+CHOOSE(MATCH(LOWER(TRIM(S106)),{"ЕШКА";"УЛЬТА";"ОБ. УДАРЫ";"ЗАР. УДАРЫ";"ПРЫЖКИ";"УНИК. УДАР"},0),J84%,J85%,J86%,J87%,J88%,0))*(1+(J76%+CHOOSE(MATCH(LOWER(TRIM(S106)),{"ЕШКА";"УЛЬТА";"ОБ. УДАРЫ";"ЗАР. УДАРЫ";"ПРЫЖКИ";"УНИК. УДАР"},0),J91,J92,J89,J90,J93,0)%)*MIN((J77%+CHOOSE(MATCH(LOWER(TRIM(S106)),{"ЕШКА";"УЛЬТА";"ОБ. УДАРЫ";"ЗАР. УДАРЫ";"ПРЫЖКИ";"УНИК. УДАР"},0),L90,L91,L88,L89,L92,0)%),100%))*(1-CHOOSE(MATCH(LOWER(TRIM(N106)),{"КРИО";"ПИРО";"ЭЛЕКТРО";"ГИДРО";"АНЕМО";"ГЕО";"ДЕНДРО";"ФИЗУХА"}, 0), C83,C80,C82,C81,E81,E82,E80,E83)%)*(D79),0)</f>
        <v>0</v>
      </c>
      <c r="M106" s="629" t="s">
        <v>125</v>
      </c>
      <c r="N106" s="1021" t="s">
        <v>2181</v>
      </c>
      <c r="P106" s="627" t="str">
        <f t="shared" si="18"/>
        <v>ЕШКА</v>
      </c>
      <c r="Q106" s="1022"/>
      <c r="R106" s="1023"/>
      <c r="S106" s="1024" t="s">
        <v>1898</v>
      </c>
      <c r="T106" s="1025" t="s">
        <v>2143</v>
      </c>
    </row>
    <row r="107" ht="19.5" customHeight="1">
      <c r="B107" s="1026" t="s">
        <v>2019</v>
      </c>
      <c r="C107" s="544"/>
      <c r="D107" s="1036">
        <f t="array" ref="D107">ROUND(3*(CHOOSE(MATCH(LOWER(TRIM(B23)),{"УРОВЕНЬ 100";"УРОВЕНЬ 95";"УРОВЕНЬ 90";"УРОВЕНЬ 80"},0),1674.8092,1561.468,1446.85,1077.44)*(1+(16*J75)/(2000+J75)+N79%)*(1-E80%)),0)</f>
        <v>11341</v>
      </c>
      <c r="E107" s="628">
        <f t="array" ref="E107">ROUND(3*(CHOOSE(MATCH(LOWER(TRIM(B23)),{"УРОВЕНЬ 100";"УРОВЕНЬ 95";"УРОВЕНЬ 90";"УРОВЕНЬ 80"},0),1674.8092,1561.468,1446.85,1077.44)*(1+(16*J75)/(2000+J75)+N79%)*(1-E80%))*CHOOSE(MATCH(LOWER(TRIM(B107)),{"ЦВЕТЕНИЕ";"ЦВЕТЕНИЕ+С2";"ЦВЕТЕНИЕ+А1";"ЦВЕТ.+С2+А1"},0), 1,2,2,2),0)</f>
        <v>11341</v>
      </c>
      <c r="F107" s="1044">
        <f t="array" ref="F107">ROUND(3*(CHOOSE(MATCH(LOWER(TRIM(B23)),{"УРОВЕНЬ 100";"УРОВЕНЬ 95";"УРОВЕНЬ 90";"УРОВЕНЬ 80"},0),1674.8092,1561.468,1446.85,1077.44)*(1+(16*J75)/(2000+J75)+N79%)*(1-E80%))*CHOOSE(MATCH(LOWER(TRIM(B107)),{"ЦВЕТЕНИЕ";"ЦВЕТЕНИЕ+С2";"ЦВЕТЕНИЕ+А1";"ЦВЕТ.+С2+А1"},0), 1,1.2,1.15,1.45)+IF(G55=true,K68*500%,0),0)</f>
        <v>11341</v>
      </c>
      <c r="G107" s="629" t="s">
        <v>14</v>
      </c>
      <c r="H107" s="1029" t="s">
        <v>569</v>
      </c>
      <c r="I107" s="627" t="str">
        <f t="shared" si="17"/>
        <v>УЛЬТА</v>
      </c>
      <c r="J107" s="1030">
        <f t="array" ref="J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УДАР"},0),J84%,J85%,J86%,J87%,J88%,0))*(1-CHOOSE(MATCH(LOWER(TRIM(N107)),{"КРИО";"ПИРО";"ЭЛЕКТРО";"ГИДРО";"АНЕМО";"ГЕО";"ДЕНДРО";"ФИЗУХА"}, 0), C83,C80,C82,C81,E81,E82,E80,E83)%)*(D79),0)</f>
        <v>0</v>
      </c>
      <c r="K107" s="1031">
        <f t="array" ref="K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УДАР"},0),L84,L85,L81,L82,L83,0),0))*(1+L87%+CHOOSE(MATCH(LOWER(TRIM(N107)),{"КРИО";"ПИРО";"ЭЛЕКТРО";"ГИДРО";"АНЕМО";"ГЕО";"ДЕНДРО";"ФИЗУХА"}, 0), L76,L73,L75,L74,L78,L77,L79,L80)%+CHOOSE(MATCH(LOWER(TRIM(S107)),{"ЕШКА";"УЛЬТА";"ОБ. УДАРЫ";"ЗАР. УДАРЫ";"ПРЫЖКИ";"УНИК. УДАР"},0),J84%,J85%,J86%,J87%,J88%,0))*(1+J76%)*(1-CHOOSE(MATCH(LOWER(TRIM(N107)),{"КРИО";"ПИРО";"ЭЛЕКТРО";"ГИДРО";"АНЕМО";"ГЕО";"ДЕНДРО";"ФИЗУХА"}, 0), C83,C80,C82,C81,E81,E82,E80,E83)%)*(D79),0)</f>
        <v>0</v>
      </c>
      <c r="L107" s="1031">
        <f t="array" ref="L107">ROUND((CHOOSE(MATCH(LOWER(TRIM(M107)),{"СА";"СА+ХП";"СА+МС";"СА+ЗЩ";"ХП";"ЗЩ"}, 0), J74,J74,J74,J74,J78,J79)*Q107%+CHOOSE(MATCH(LOWER(TRIM(M107)),{"СА";"СА+ХП";"СА+МС";"СА+ЗЩ";"ХП";"ЗЩ"}, 0), 0,J78,J75,J79,0,0)*R107%+IF(L28=TRUE,L86+CHOOSE(MATCH(LOWER(TRIM(S107)),{"ЕШКА";"УЛЬТА";"ОБ. УДАРЫ";"ЗАР. УДАРЫ";"ПРЫЖКИ";"УНИК. УДАР"},0),L84,L85,L81,L82,L83,0),0)+CHOOSE(MATCH(LOWER(TRIM(J28)),{"ПАР";"ОБ.ПАР";"ТАЯНИЕ";"ОБ.ТАЯНИЕ";"ОБОСТР.";"РАЗРАСТ.";"НЕТ"}, 0), 0,0,0,0,D102,D103,0))*(1+L87%+CHOOSE(MATCH(LOWER(TRIM(N107)),{"КРИО";"ПИРО";"ЭЛЕКТРО";"ГИДРО";"АНЕМО";"ГЕО";"ДЕНДРО";"ФИЗУХА"}, 0), L76,L73,L75,L74,L78,L77,L79,L80)%+CHOOSE(MATCH(LOWER(TRIM(S107)),{"ЕШКА";"УЛЬТА";"ОБ. УДАРЫ";"ЗАР. УДАРЫ";"ПРЫЖКИ";"УНИК. УДАР"},0),J84%,J85%,J86%,J87%,J88%,0))*(1+(J76%+CHOOSE(MATCH(LOWER(TRIM(S107)),{"ЕШКА";"УЛЬТА";"ОБ. УДАРЫ";"ЗАР. УДАРЫ";"ПРЫЖКИ";"УНИК. УДАР"},0),J91,J92,J89,J90,J93,0)%)*MIN((J77%+CHOOSE(MATCH(LOWER(TRIM(S107)),{"ЕШКА";"УЛЬТА";"ОБ. УДАРЫ";"ЗАР. УДАРЫ";"ПРЫЖКИ";"УНИК. УДАР"},0),L90,L91,L88,L89,L92,0)%),100%))*(1-CHOOSE(MATCH(LOWER(TRIM(N107)),{"КРИО";"ПИРО";"ЭЛЕКТРО";"ГИДРО";"АНЕМО";"ГЕО";"ДЕНДРО";"ФИЗУХА"}, 0), C83,C80,C82,C81,E81,E82,E80,E83)%)*(D79),0)</f>
        <v>0</v>
      </c>
      <c r="M107" s="629" t="s">
        <v>2307</v>
      </c>
      <c r="N107" s="1021" t="s">
        <v>2181</v>
      </c>
      <c r="P107" s="627" t="str">
        <f t="shared" si="18"/>
        <v>УЛЬТА</v>
      </c>
      <c r="Q107" s="1032"/>
      <c r="R107" s="1033"/>
      <c r="S107" s="1024" t="s">
        <v>1902</v>
      </c>
      <c r="T107" s="1025" t="s">
        <v>2143</v>
      </c>
    </row>
    <row r="108" ht="19.5" customHeight="1">
      <c r="B108" s="1014" t="s">
        <v>2158</v>
      </c>
      <c r="C108" s="544"/>
      <c r="D108" s="1035">
        <f t="array" ref="D108">ROUND(2*(CHOOSE(MATCH(LOWER(TRIM(B23)),{"УРОВЕНЬ 100";"УРОВЕНЬ 95";"УРОВЕНЬ 90";"УРОВЕНЬ 80"},0),1674.8092,1561.468,1446.85,1077.44)*(1+(16*J75)/(2000+J75)+N80%)*(1-C82%)),0)</f>
        <v>7561</v>
      </c>
      <c r="E108" s="817" t="s">
        <v>14</v>
      </c>
      <c r="F108" s="1016" t="s">
        <v>14</v>
      </c>
      <c r="G108" s="816" t="s">
        <v>14</v>
      </c>
      <c r="H108" s="1018" t="s">
        <v>560</v>
      </c>
      <c r="I108" s="627" t="str">
        <f t="shared" si="17"/>
        <v>УЛЬТА</v>
      </c>
      <c r="J108" s="1034">
        <f t="array" ref="J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УДАР"},0),J84%,J85%,J86%,J87%,J88%,0))*(1-CHOOSE(MATCH(LOWER(TRIM(N108)),{"КРИО";"ПИРО";"ЭЛЕКТРО";"ГИДРО";"АНЕМО";"ГЕО";"ДЕНДРО";"ФИЗУХА"}, 0), C83,C80,C82,C81,E81,E82,E80,E83)%)*(D79),0)</f>
        <v>0</v>
      </c>
      <c r="K108" s="1020">
        <f t="array" ref="K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УДАР"},0),L84,L85,L81,L82,L83,0),0))*(1+L87%+CHOOSE(MATCH(LOWER(TRIM(N108)),{"КРИО";"ПИРО";"ЭЛЕКТРО";"ГИДРО";"АНЕМО";"ГЕО";"ДЕНДРО";"ФИЗУХА"}, 0), L76,L73,L75,L74,L78,L77,L79,L80)%+CHOOSE(MATCH(LOWER(TRIM(S108)),{"ЕШКА";"УЛЬТА";"ОБ. УДАРЫ";"ЗАР. УДАРЫ";"ПРЫЖКИ";"УНИК. УДАР"},0),J84%,J85%,J86%,J87%,J88%,0))*(1+J76%)*(1-CHOOSE(MATCH(LOWER(TRIM(N108)),{"КРИО";"ПИРО";"ЭЛЕКТРО";"ГИДРО";"АНЕМО";"ГЕО";"ДЕНДРО";"ФИЗУХА"}, 0), C83,C80,C82,C81,E81,E82,E80,E83)%)*(D79),0)</f>
        <v>0</v>
      </c>
      <c r="L108" s="1020">
        <f t="array" ref="L108">ROUND((CHOOSE(MATCH(LOWER(TRIM(M108)),{"СА";"СА+ХП";"СА+МС";"СА+ЗЩ";"ХП";"ЗЩ"}, 0), J74,J74,J74,J74,J78,J79)*Q108%+CHOOSE(MATCH(LOWER(TRIM(M108)),{"СА";"СА+ХП";"СА+МС";"СА+ЗЩ";"ХП";"ЗЩ"}, 0), 0,J78,J75,J79,0,0)*R108%+IF(L29=TRUE,L86+CHOOSE(MATCH(LOWER(TRIM(S108)),{"ЕШКА";"УЛЬТА";"ОБ. УДАРЫ";"ЗАР. УДАРЫ";"ПРЫЖКИ";"УНИК. УДАР"},0),L84,L85,L81,L82,L83,0),0)+CHOOSE(MATCH(LOWER(TRIM(J29)),{"ПАР";"ОБ.ПАР";"ТАЯНИЕ";"ОБ.ТАЯНИЕ";"ОБОСТР.";"РАЗРАСТ.";"НЕТ"}, 0), 0,0,0,0,D102,D103,0))*(1+L87%+CHOOSE(MATCH(LOWER(TRIM(N108)),{"КРИО";"ПИРО";"ЭЛЕКТРО";"ГИДРО";"АНЕМО";"ГЕО";"ДЕНДРО";"ФИЗУХА"}, 0), L76,L73,L75,L74,L78,L77,L79,L80)%+CHOOSE(MATCH(LOWER(TRIM(S108)),{"ЕШКА";"УЛЬТА";"ОБ. УДАРЫ";"ЗАР. УДАРЫ";"ПРЫЖКИ";"УНИК. УДАР"},0),J84%,J85%,J86%,J87%,J88%,0))*(1+(J76%+CHOOSE(MATCH(LOWER(TRIM(S108)),{"ЕШКА";"УЛЬТА";"ОБ. УДАРЫ";"ЗАР. УДАРЫ";"ПРЫЖКИ";"УНИК. УДАР"},0),J91,J92,J89,J90,J93,0)%)*MIN((J77%+CHOOSE(MATCH(LOWER(TRIM(S108)),{"ЕШКА";"УЛЬТА";"ОБ. УДАРЫ";"ЗАР. УДАРЫ";"ПРЫЖКИ";"УНИК. УДАР"},0),L90,L91,L88,L89,L92,0)%),100%))*(1-CHOOSE(MATCH(LOWER(TRIM(N108)),{"КРИО";"ПИРО";"ЭЛЕКТРО";"ГИДРО";"АНЕМО";"ГЕО";"ДЕНДРО";"ФИЗУХА"}, 0), C83,C80,C82,C81,E81,E82,E80,E83)%)*(D79),0)</f>
        <v>0</v>
      </c>
      <c r="M108" s="629" t="s">
        <v>125</v>
      </c>
      <c r="N108" s="1021" t="s">
        <v>2181</v>
      </c>
      <c r="P108" s="627" t="str">
        <f t="shared" si="18"/>
        <v>УЛЬТА</v>
      </c>
      <c r="Q108" s="1022"/>
      <c r="R108" s="1023"/>
      <c r="S108" s="1024" t="s">
        <v>1902</v>
      </c>
      <c r="T108" s="1025" t="s">
        <v>2143</v>
      </c>
    </row>
    <row r="109" ht="19.5" customHeight="1">
      <c r="B109" s="1026" t="s">
        <v>2159</v>
      </c>
      <c r="C109" s="544"/>
      <c r="D109" s="1036">
        <f t="array" ref="D109">ROUND(1.8*(CHOOSE(MATCH(LOWER(TRIM(B23)),{"УРОВЕНЬ 100";"УРОВЕНЬ 95";"УРОВЕНЬ 90";"УРОВЕНЬ 80"},0),1674.8092,1561.468,1446.85,1077.44)*(1+MIN((K67+M67)*0.00007, 0.28))*(1+(6*J75)/(2000+J75)+N81%)*(1-C82%)),0)</f>
        <v>8320</v>
      </c>
      <c r="E109" s="628">
        <f t="array" ref="E109">ROUND(1.8*(CHOOSE(MATCH(LOWER(TRIM(B23)),{"УРОВЕНЬ 100";"УРОВЕНЬ 95";"УРОВЕНЬ 90";"УРОВЕНЬ 80"},0),1674.8092,1561.468,1446.85,1077.44)*(1+MIN((K67+M67)*0.00007, 0.28))*(1+(6*J75)/(2000+J75)+N81%)*(1-C82%)*(1+J76%)),0)</f>
        <v>28547</v>
      </c>
      <c r="F109" s="1044">
        <f t="array" ref="F109">ROUND(1.8*(CHOOSE(MATCH(LOWER(TRIM(B23)),{"УРОВЕНЬ 100";"УРОВЕНЬ 95";"УРОВЕНЬ 90";"УРОВЕНЬ 80"},0),1674.8092,1561.468,1446.85,1077.44)*(1+MIN((K67+M67)*0.00007, 0.28))*(1+(6*J75)/(2000+J75)+N81%)*(1-C82%)*(1+J76%*J77%)),0)</f>
        <v>27293</v>
      </c>
      <c r="G109" s="629" t="s">
        <v>14</v>
      </c>
      <c r="H109" s="1029" t="s">
        <v>560</v>
      </c>
      <c r="I109" s="627" t="str">
        <f t="shared" si="17"/>
        <v>УНИК. УДАР</v>
      </c>
      <c r="J109" s="1030">
        <f t="array" ref="J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УДАР"},0),J84%,J85%,J86%,J87%,J88%,0))*(1-CHOOSE(MATCH(LOWER(TRIM(N109)),{"КРИО";"ПИРО";"ЭЛЕКТРО";"ГИДРО";"АНЕМО";"ГЕО";"ДЕНДРО";"ФИЗУХА"}, 0), C83,C80,C82,C81,E81,E82,E80,E83)%)*(D79),0)</f>
        <v>0</v>
      </c>
      <c r="K109" s="1031">
        <f t="array" ref="K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УДАР"},0),L84,L85,L81,L82,L83,0),0))*(1+L87%+CHOOSE(MATCH(LOWER(TRIM(N109)),{"КРИО";"ПИРО";"ЭЛЕКТРО";"ГИДРО";"АНЕМО";"ГЕО";"ДЕНДРО";"ФИЗУХА"}, 0), L76,L73,L75,L74,L78,L77,L79,L80)%+CHOOSE(MATCH(LOWER(TRIM(S109)),{"ЕШКА";"УЛЬТА";"ОБ. УДАРЫ";"ЗАР. УДАРЫ";"ПРЫЖКИ";"УНИК. УДАР"},0),J84%,J85%,J86%,J87%,J88%,0))*(1+J76%)*(1-CHOOSE(MATCH(LOWER(TRIM(N109)),{"КРИО";"ПИРО";"ЭЛЕКТРО";"ГИДРО";"АНЕМО";"ГЕО";"ДЕНДРО";"ФИЗУХА"}, 0), C83,C80,C82,C81,E81,E82,E80,E83)%)*(D79),0)</f>
        <v>0</v>
      </c>
      <c r="L109" s="1031">
        <f t="array" ref="L109">ROUND((CHOOSE(MATCH(LOWER(TRIM(M109)),{"СА";"СА+ХП";"СА+МС";"СА+ЗЩ";"ХП";"ЗЩ"}, 0), J74,J74,J74,J74,J78,J79)*Q109%+CHOOSE(MATCH(LOWER(TRIM(M109)),{"СА";"СА+ХП";"СА+МС";"СА+ЗЩ";"ХП";"ЗЩ"}, 0), 0,J78,J75,J79,0,0)*R109%+IF(L30=TRUE,L86+CHOOSE(MATCH(LOWER(TRIM(S109)),{"ЕШКА";"УЛЬТА";"ОБ. УДАРЫ";"ЗАР. УДАРЫ";"ПРЫЖКИ";"УНИК. УДАР"},0),L84,L85,L81,L82,L83,0),0)+CHOOSE(MATCH(LOWER(TRIM(J30)),{"ПАР";"ОБ.ПАР";"ТАЯНИЕ";"ОБ.ТАЯНИЕ";"ОБОСТР.";"РАЗРАСТ.";"НЕТ"}, 0), 0,0,0,0,D102,D103,0))*(1+L87%+CHOOSE(MATCH(LOWER(TRIM(N109)),{"КРИО";"ПИРО";"ЭЛЕКТРО";"ГИДРО";"АНЕМО";"ГЕО";"ДЕНДРО";"ФИЗУХА"}, 0), L76,L73,L75,L74,L78,L77,L79,L80)%+CHOOSE(MATCH(LOWER(TRIM(S109)),{"ЕШКА";"УЛЬТА";"ОБ. УДАРЫ";"ЗАР. УДАРЫ";"ПРЫЖКИ";"УНИК. УДАР"},0),J84%,J85%,J86%,J87%,J88%,0))*(1+(J76%+CHOOSE(MATCH(LOWER(TRIM(S109)),{"ЕШКА";"УЛЬТА";"ОБ. УДАРЫ";"ЗАР. УДАРЫ";"ПРЫЖКИ";"УНИК. УДАР"},0),J91,J92,J89,J90,J93,0)%)*MIN((J77%+CHOOSE(MATCH(LOWER(TRIM(S109)),{"ЕШКА";"УЛЬТА";"ОБ. УДАРЫ";"ЗАР. УДАРЫ";"ПРЫЖКИ";"УНИК. УДАР"},0),L90,L91,L88,L89,L92,0)%),100%))*(1-CHOOSE(MATCH(LOWER(TRIM(N109)),{"КРИО";"ПИРО";"ЭЛЕКТРО";"ГИДРО";"АНЕМО";"ГЕО";"ДЕНДРО";"ФИЗУХА"}, 0), C83,C80,C82,C81,E81,E82,E80,E83)%)*(D79),0)</f>
        <v>0</v>
      </c>
      <c r="M109" s="629" t="s">
        <v>125</v>
      </c>
      <c r="N109" s="1021" t="s">
        <v>2181</v>
      </c>
      <c r="P109" s="627" t="str">
        <f t="shared" si="18"/>
        <v>УНИК. УДАР</v>
      </c>
      <c r="Q109" s="1032"/>
      <c r="R109" s="1033"/>
      <c r="S109" s="1024" t="s">
        <v>2157</v>
      </c>
      <c r="T109" s="1025" t="s">
        <v>2143</v>
      </c>
    </row>
    <row r="110" ht="19.5" customHeight="1">
      <c r="B110" s="1014" t="s">
        <v>2160</v>
      </c>
      <c r="C110" s="544"/>
      <c r="D110" s="1042">
        <f t="array" ref="D110">ROUND((1.8*(CHOOSE(MATCH(LOWER(TRIM(B23)),{"УРОВЕНЬ 100";"УРОВЕНЬ 95";"УРОВЕНЬ 90";"УРОВЕНЬ 80"},0),1674.8092,1561.468,1446.85,1446.85,1077.44)*(1+MIN((K67+M67)*0.00007, 0.28))*(1+(6*J75)/(2000+J75)+N81%)*(1-C82%)))/2,0)</f>
        <v>4160</v>
      </c>
      <c r="E110" s="1042">
        <f t="array" ref="E110">ROUND((1.8*(CHOOSE(MATCH(LOWER(TRIM(B23)),{"УРОВЕНЬ 100";"УРОВЕНЬ 95";"УРОВЕНЬ 90";"УРОВЕНЬ 80"},0),1674.8092,1561.468,1446.85,1446.85,1077.44)*(1+MIN((K67+M67)*0.00007, 0.28))*(1+(6*J75)/(2000+J75)+N81%)*(1-C82%)*(1+J76%*J77%)))/2,0)</f>
        <v>13646</v>
      </c>
      <c r="F110" s="1042">
        <f t="array" ref="F110">ROUND((1.8*(CHOOSE(MATCH(LOWER(TRIM(B23)),{"УРОВЕНЬ 100";"УРОВЕНЬ 95";"УРОВЕНЬ 90";"УРОВЕНЬ 80"},0),1674.8092,1561.468,1446.85,1446.85,1077.44)*(1+MIN((K67+M67)*0.00007, 0.28))*(1+(6*J75)/(2000+J75)+N81%)*(1-C82%)*(1+J76%*J77%)))/2,0)</f>
        <v>13646</v>
      </c>
      <c r="G110" s="816" t="s">
        <v>14</v>
      </c>
      <c r="H110" s="1018" t="s">
        <v>560</v>
      </c>
      <c r="I110" s="627" t="str">
        <f t="shared" si="17"/>
        <v>УЛЬТА</v>
      </c>
      <c r="J110" s="1034">
        <f t="array" ref="J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УДАР"},0),J84%,J85%,J86%,J87%,J88%,0))*(1-CHOOSE(MATCH(LOWER(TRIM(N110)),{"КРИО";"ПИРО";"ЭЛЕКТРО";"ГИДРО";"АНЕМО";"ГЕО";"ДЕНДРО";"ФИЗУХА"}, 0), C83,C80,C82,C81,E81,E82,E80,E83)%)*(D79),0)</f>
        <v>0</v>
      </c>
      <c r="K110" s="1020">
        <f t="array" ref="K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УДАР"},0),L84,L85,L81,L82,L83,0),0))*(1+L87%+CHOOSE(MATCH(LOWER(TRIM(N110)),{"КРИО";"ПИРО";"ЭЛЕКТРО";"ГИДРО";"АНЕМО";"ГЕО";"ДЕНДРО";"ФИЗУХА"}, 0), L76,L73,L75,L74,L78,L77,L79,L80)%+CHOOSE(MATCH(LOWER(TRIM(S110)),{"ЕШКА";"УЛЬТА";"ОБ. УДАРЫ";"ЗАР. УДАРЫ";"ПРЫЖКИ";"УНИК. УДАР"},0),J84%,J85%,J86%,J87%,J88%,0))*(1+J76%)*(1-CHOOSE(MATCH(LOWER(TRIM(N110)),{"КРИО";"ПИРО";"ЭЛЕКТРО";"ГИДРО";"АНЕМО";"ГЕО";"ДЕНДРО";"ФИЗУХА"}, 0), C83,C80,C82,C81,E81,E82,E80,E83)%)*(D79),0)</f>
        <v>0</v>
      </c>
      <c r="L110" s="1020">
        <f t="array" ref="L110">ROUND((CHOOSE(MATCH(LOWER(TRIM(M110)),{"СА";"СА+ХП";"СА+МС";"СА+ЗЩ";"ХП";"ЗЩ"}, 0), J74,J74,J74,J74,J78,J79)*Q110%+CHOOSE(MATCH(LOWER(TRIM(M110)),{"СА";"СА+ХП";"СА+МС";"СА+ЗЩ";"ХП";"ЗЩ"}, 0), 0,J78,J75,J79,0,0)*R110%+IF(L31=TRUE,L86+CHOOSE(MATCH(LOWER(TRIM(S110)),{"ЕШКА";"УЛЬТА";"ОБ. УДАРЫ";"ЗАР. УДАРЫ";"ПРЫЖКИ";"УНИК. УДАР"},0),L84,L85,L81,L82,L83,0),0)+CHOOSE(MATCH(LOWER(TRIM(J31)),{"ПАР";"ОБ.ПАР";"ТАЯНИЕ";"ОБ.ТАЯНИЕ";"ОБОСТР.";"РАЗРАСТ.";"НЕТ"}, 0), 0,0,0,0,D102,D103,0))*(1+L87%+CHOOSE(MATCH(LOWER(TRIM(N110)),{"КРИО";"ПИРО";"ЭЛЕКТРО";"ГИДРО";"АНЕМО";"ГЕО";"ДЕНДРО";"ФИЗУХА"}, 0), L76,L73,L75,L74,L78,L77,L79,L80)%+CHOOSE(MATCH(LOWER(TRIM(S110)),{"ЕШКА";"УЛЬТА";"ОБ. УДАРЫ";"ЗАР. УДАРЫ";"ПРЫЖКИ";"УНИК. УДАР"},0),J84%,J85%,J86%,J87%,J88%,0))*(1+(J76%+CHOOSE(MATCH(LOWER(TRIM(S110)),{"ЕШКА";"УЛЬТА";"ОБ. УДАРЫ";"ЗАР. УДАРЫ";"ПРЫЖКИ";"УНИК. УДАР"},0),J91,J92,J89,J90,J93,0)%)*MIN((J77%+CHOOSE(MATCH(LOWER(TRIM(S110)),{"ЕШКА";"УЛЬТА";"ОБ. УДАРЫ";"ЗАР. УДАРЫ";"ПРЫЖКИ";"УНИК. УДАР"},0),L90,L91,L88,L89,L92,0)%),100%))*(1-CHOOSE(MATCH(LOWER(TRIM(N110)),{"КРИО";"ПИРО";"ЭЛЕКТРО";"ГИДРО";"АНЕМО";"ГЕО";"ДЕНДРО";"ФИЗУХА"}, 0), C83,C80,C82,C81,E81,E82,E80,E83)%)*(D79),0)</f>
        <v>0</v>
      </c>
      <c r="M110" s="629" t="s">
        <v>125</v>
      </c>
      <c r="N110" s="1021" t="s">
        <v>2181</v>
      </c>
      <c r="P110" s="627" t="str">
        <f t="shared" si="18"/>
        <v>УЛЬТА</v>
      </c>
      <c r="Q110" s="1022"/>
      <c r="R110" s="1023"/>
      <c r="S110" s="1024" t="s">
        <v>1902</v>
      </c>
      <c r="T110" s="1025" t="s">
        <v>2143</v>
      </c>
    </row>
    <row r="111" ht="19.5" customHeight="1">
      <c r="B111" s="1026" t="s">
        <v>2161</v>
      </c>
      <c r="C111" s="544"/>
      <c r="D111" s="628">
        <f t="array" ref="D111">ROUND((1.8*(CHOOSE(MATCH(LOWER(TRIM(B23)),{"УРОВЕНЬ 100";"УРОВЕНЬ 95";"УРОВЕНЬ 90";"УРОВЕНЬ 80"},0),1674.8092,1561.468,1446.85,1077.44)*(1+MIN((K67+M67)*0.00007, 0.28))*(1+(6*J75)/(2000+J75)+N81%)*(1-C82%)))/12,0)</f>
        <v>693</v>
      </c>
      <c r="E111" s="628">
        <f t="array" ref="E111">ROUND((1.8*(CHOOSE(MATCH(LOWER(TRIM(B23)),{"УРОВЕНЬ 100";"УРОВЕНЬ 95";"УРОВЕНЬ 90";"УРОВЕНЬ 80"},0),1674.8092,1561.468,1446.85,1077.44)*(1+MIN((K67+M67)*0.00007, 0.28))*(1+(6*J75)/(2000+J75)+N81%)*(1-C82%)*(1+J76%)))/12,0)</f>
        <v>2379</v>
      </c>
      <c r="F111" s="628">
        <f t="array" ref="F111">ROUND((1.8*(CHOOSE(MATCH(LOWER(TRIM(B23)),{"УРОВЕНЬ 100";"УРОВЕНЬ 95";"УРОВЕНЬ 90";"УРОВЕНЬ 80"},0),1674.8092,1561.468,1446.85,1077.44)*(1 + MIN((K67 + M67) * 0.00007, 0.28))*(1+(6*J75)/(2000+J75)+N81%)*(1-C82%)*(1+J76%*J77%)))/12,0)</f>
        <v>2274</v>
      </c>
      <c r="G111" s="629" t="s">
        <v>14</v>
      </c>
      <c r="H111" s="1029" t="s">
        <v>560</v>
      </c>
      <c r="I111" s="627" t="str">
        <f t="shared" si="17"/>
        <v>УНИК. УДАР</v>
      </c>
      <c r="J111" s="1030">
        <f t="array" ref="J111">ROUND((CHOOSE(MATCH(LOWER(TRIM(M111)),{"СА";"СА+ХП";"СА+МС";"СА+ЗЩ";"ХП";"ЗЩ"}, 0), J74,J74,J74,J74,J78,J79)*Q111%+CHOOSE(MATCH(LOWER(TRIM(M111)),{"СА";"СА+ХП";"СА+МС";"СА+ЗЩ";"ХП";"ЗЩ"}, 0), 0,J78,J75,J79,0,0)*R111%+IF(L31=TRUE,L86+CHOOSE(MATCH(LOWER(TRIM(S111)),{"ЕШКА";"УЛЬТА";"ОБ.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УДАР"},0),J84%,J85%,J86%,J87%,J88%,0))*(1-CHOOSE(MATCH(LOWER(TRIM(N111)),{"КРИО";"ПИРО";"ЭЛЕКТРО";"ГИДРО";"АНЕМО";"ГЕО";"ДЕНДРО";"ФИЗУХА"}, 0), C83,C80,C82,C81,E81,E82,E80,E83)%)*(D79),0)</f>
        <v>0</v>
      </c>
      <c r="K111" s="1031">
        <f t="array" ref="K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УДАР"},0),L84,L85,L81,L82,L83,0),0))*(1+L87%+CHOOSE(MATCH(LOWER(TRIM(N111)),{"КРИО";"ПИРО";"ЭЛЕКТРО";"ГИДРО";"АНЕМО";"ГЕО";"ДЕНДРО";"ФИЗУХА"}, 0), L76,L73,L75,L74,L78,L77,L79,L80)%+CHOOSE(MATCH(LOWER(TRIM(S111)),{"ЕШКА";"УЛЬТА";"ОБ. УДАРЫ";"ЗАР. УДАРЫ";"ПРЫЖКИ";"УНИК. УДАР"},0),J84%,J85%,J86%,J87%,J88%,0))*(1+J76%)*(1-CHOOSE(MATCH(LOWER(TRIM(N111)),{"КРИО";"ПИРО";"ЭЛЕКТРО";"ГИДРО";"АНЕМО";"ГЕО";"ДЕНДРО";"ФИЗУХА"}, 0), C83,C80,C82,C81,E81,E82,E80,E83)%)*(D79),0)</f>
        <v>0</v>
      </c>
      <c r="L111" s="1031">
        <f t="array" ref="L111">ROUND((CHOOSE(MATCH(LOWER(TRIM(M111)),{"СА";"СА+ХП";"СА+МС";"СА+ЗЩ";"ХП";"ЗЩ"}, 0), J74,J74,J74,J74,J78,J79)*Q111%+CHOOSE(MATCH(LOWER(TRIM(M111)),{"СА";"СА+ХП";"СА+МС";"СА+ЗЩ";"ХП";"ЗЩ"}, 0), 0,J78,J75,J79,0,0)*R111%+IF(L32=TRUE,L86+CHOOSE(MATCH(LOWER(TRIM(S111)),{"ЕШКА";"УЛЬТА";"ОБ. УДАРЫ";"ЗАР. УДАРЫ";"ПРЫЖКИ";"УНИК. УДАР"},0),L84,L85,L81,L82,L83,0),0)+CHOOSE(MATCH(LOWER(TRIM(J32)),{"ПАР";"ОБ.ПАР";"ТАЯНИЕ";"ОБ.ТАЯНИЕ";"ОБОСТР.";"РАЗРАСТ.";"НЕТ"}, 0), 0,0,0,0,D102,D103,0))*(1+L87%+CHOOSE(MATCH(LOWER(TRIM(N111)),{"КРИО";"ПИРО";"ЭЛЕКТРО";"ГИДРО";"АНЕМО";"ГЕО";"ДЕНДРО";"ФИЗУХА"}, 0), L76,L73,L75,L74,L78,L77,L79,L80)%+CHOOSE(MATCH(LOWER(TRIM(S111)),{"ЕШКА";"УЛЬТА";"ОБ. УДАРЫ";"ЗАР. УДАРЫ";"ПРЫЖКИ";"УНИК. УДАР"},0),J84%,J85%,J86%,J87%,J88%,0))*(1+(J76%+CHOOSE(MATCH(LOWER(TRIM(S111)),{"ЕШКА";"УЛЬТА";"ОБ. УДАРЫ";"ЗАР. УДАРЫ";"ПРЫЖКИ";"УНИК. УДАР"},0),J91,J92,J89,J90,J93,0)%)*MIN((J77%+CHOOSE(MATCH(LOWER(TRIM(S111)),{"ЕШКА";"УЛЬТА";"ОБ. УДАРЫ";"ЗАР. УДАРЫ";"ПРЫЖКИ";"УНИК. УДАР"},0),L90,L91,L88,L89,L92,0)%),100%))*(1-CHOOSE(MATCH(LOWER(TRIM(N111)),{"КРИО";"ПИРО";"ЭЛЕКТРО";"ГИДРО";"АНЕМО";"ГЕО";"ДЕНДРО";"ФИЗУХА"}, 0), C83,C80,C82,C81,E81,E82,E80,E83)%)*(D79),0)</f>
        <v>0</v>
      </c>
      <c r="M111" s="629" t="s">
        <v>125</v>
      </c>
      <c r="N111" s="1021" t="s">
        <v>2181</v>
      </c>
      <c r="P111" s="627" t="str">
        <f t="shared" si="18"/>
        <v>УНИК. УДАР</v>
      </c>
      <c r="Q111" s="1032"/>
      <c r="R111" s="1033"/>
      <c r="S111" s="1024" t="s">
        <v>2157</v>
      </c>
      <c r="T111" s="1025" t="s">
        <v>2143</v>
      </c>
    </row>
    <row r="112" ht="19.5" customHeight="1">
      <c r="B112" s="1014" t="s">
        <v>2036</v>
      </c>
      <c r="C112" s="544"/>
      <c r="D112" s="1035">
        <f t="array" ref="D112">ROUND(2.75*(CHOOSE(MATCH(LOWER(TRIM(B23)),{"УРОВЕНЬ 100";"УРОВЕНЬ 95";"УРОВЕНЬ 90";"УРОВЕНЬ 80"},0),1674.8092,1561.468,1446.85,1077.44)*(1+(16*J75)/(2000+J75)+N82%)*(1-C80%)),0)</f>
        <v>10396</v>
      </c>
      <c r="E112" s="817" t="s">
        <v>14</v>
      </c>
      <c r="F112" s="1016" t="s">
        <v>14</v>
      </c>
      <c r="G112" s="816" t="s">
        <v>14</v>
      </c>
      <c r="H112" s="1018" t="s">
        <v>559</v>
      </c>
      <c r="I112" s="627" t="str">
        <f t="shared" si="17"/>
        <v>УНИК. УДАР</v>
      </c>
      <c r="J112" s="1034">
        <f t="array" ref="J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(1+L87%+CHOOSE(MATCH(LOWER(TRIM(N112)),{"КРИО";"ПИРО";"ЭЛЕКТРО";"ГИДРО";"АНЕМО";"ГЕО";"ДЕНДРО";"ФИЗУХА"}, 0), L76,L73,L75,L74,L78,L77,L79,L80)%+CHOOSE(MATCH(LOWER(TRIM(S112)),{"ЕШКА";"УЛЬТА";"ОБ. УДАРЫ";"ЗАР. УДАРЫ";"ПРЫЖКИ";"УНИК. УДАР"},0),J84%,J85%,J86%,J87%,J88%,0))
*(1-CHOOSE(MATCH(LOWER(TRIM(N112)),{"КРИО";"ПИРО";"ЭЛЕКТРО";"ГИДРО";"АНЕМО";"ГЕО";"ДЕНДРО";"ФИЗУХА"}, 0), C83,C80,C82,C81,E81,E82,E80,E83)%)*(D79),0)</f>
        <v>0</v>
      </c>
      <c r="K112" s="1020">
        <f t="array" ref="K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(1+L87%+CHOOSE(MATCH(LOWER(TRIM(N112)),{"КРИО";"ПИРО";"ЭЛЕКТРО";"ГИДРО";"АНЕМО";"ГЕО";"ДЕНДРО";"ФИЗУХА"}, 0), L76,L73,L75,L74,L78,L77,L79,L80)%+CHOOSE(MATCH(LOWER(TRIM(S112)),{"ЕШКА";"УЛЬТА";"ОБ. УДАРЫ";"ЗАР. УДАРЫ";"ПРЫЖКИ";"УНИК. УДАР"},0),J84%,J85%,J86%,J87%,J88%,0))
*(1+J76%)*(1-CHOOSE(MATCH(LOWER(TRIM(N112)),{"КРИО";"ПИРО";"ЭЛЕКТРО";"ГИДРО";"АНЕМО";"ГЕО";"ДЕНДРО";"ФИЗУХА"}, 0), C83,C80,C82,C81,E81,E82,E80,E83)%)*(D79),0)</f>
        <v>0</v>
      </c>
      <c r="L112" s="1020">
        <f t="array" ref="L112">ROUND((CHOOSE(MATCH(LOWER(TRIM(M112)),{"СА";"СА+ХП";"СА+МС";"СА+ЗЩ";"ХП";"ЗЩ"}, 0), J74,J74,J74,J74,J78,J79)*Q112%
+CHOOSE(MATCH(LOWER(TRIM(M112)),{"СА";"СА+ХП";"СА+МС";"СА+ЗЩ";"ХП";"ЗЩ"}, 0), 0,J78,J75,J79,0,0)*R112%+IF(L33=TRUE,L86+CHOOSE(MATCH(LOWER(TRIM(S112)),{"ЕШКА";"УЛЬТА";"ОБ. УДАРЫ";"ЗАР. УДАРЫ";"ПРЫЖКИ";"УНИК. УДАР"},0),L84,L85,L81,L82,L83,0),0)+
CHOOSE(MATCH(LOWER(TRIM(J33)),{"ПАР";"ОБ.ПАР";"ТАЯНИЕ";"ОБ.ТАЯНИЕ";"ОБОСТР.";"РАЗРАСТ.";"НЕТ"}, 0), 0,0,0,0,D102,D103,0))
*(1+L87%+CHOOSE(MATCH(LOWER(TRIM(N112)),{"КРИО";"ПИРО";"ЭЛЕКТРО";"ГИДРО";"АНЕМО";"ГЕО";"ДЕНДРО";"ФИЗУХА"}, 0), L76,L73,L75,L74,L78,L77,L79,L80)%+CHOOSE(MATCH(LOWER(TRIM(S112)),{"ЕШКА";"УЛЬТА";"ОБ. УДАРЫ";"ЗАР. УДАРЫ";"ПРЫЖКИ";"УНИК. УДАР"},0),J84%,J85%,J86%,J87%,J88%,0))
*(1+(J76%+CHOOSE(MATCH(LOWER(TRIM(S112)),{"ЕШКА";"УЛЬТА";"ОБ. УДАРЫ";"ЗАР. УДАРЫ";"ПРЫЖКИ";"УНИК. УДАР"},0),J91,J92,J89,J90,J93,0)%)*MIN((J77%+CHOOSE(MATCH(LOWER(TRIM(S112)),{"ЕШКА";"УЛЬТА";"ОБ. УДАРЫ";"ЗАР. УДАРЫ";"ПРЫЖКИ";"УНИК. УДАР"},0),L90,L91,L88,L89,L92,0)%),100%))*(1-CHOOSE(MATCH(LOWER(TRIM(N112)),{"КРИО";"ПИРО";"ЭЛЕКТРО";"ГИДРО";"АНЕМО";"ГЕО";"ДЕНДРО";"ФИЗУХА"}, 0), C83,C80,C82,C81,E81,E82,E80,E83)%)*(D79),0)</f>
        <v>0</v>
      </c>
      <c r="M112" s="629" t="s">
        <v>125</v>
      </c>
      <c r="N112" s="1021" t="s">
        <v>2181</v>
      </c>
      <c r="P112" s="627" t="str">
        <f t="shared" si="18"/>
        <v>УНИК. УДАР</v>
      </c>
      <c r="Q112" s="1022"/>
      <c r="R112" s="1023"/>
      <c r="S112" s="1024" t="s">
        <v>2157</v>
      </c>
      <c r="T112" s="1025" t="s">
        <v>2143</v>
      </c>
    </row>
    <row r="113" ht="19.5" customHeight="1">
      <c r="B113" s="1026" t="s">
        <v>2038</v>
      </c>
      <c r="C113" s="544"/>
      <c r="D113" s="1036">
        <f t="array" ref="D113">ROUND((0.25*(CHOOSE(MATCH(LOWER(TRIM(B23)),{"УРОВЕНЬ 100";"УРОВЕНЬ 95";"УРОВЕНЬ 90";"УРОВЕНЬ 80"},0),1674.8092,1561.468,1446.85,1077.44)*(1+(16*J75)/(2000+J75)+N83%)*(1-C80%))),0)</f>
        <v>945</v>
      </c>
      <c r="E113" s="630" t="s">
        <v>14</v>
      </c>
      <c r="F113" s="573" t="s">
        <v>14</v>
      </c>
      <c r="G113" s="629" t="s">
        <v>14</v>
      </c>
      <c r="H113" s="1029" t="s">
        <v>559</v>
      </c>
      <c r="I113" s="627" t="str">
        <f t="shared" si="17"/>
        <v>УНИК. УДАР</v>
      </c>
      <c r="J113" s="1030">
        <f t="array" ref="J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(1+L87%+CHOOSE(MATCH(LOWER(TRIM(N113)),{"КРИО";"ПИРО";"ЭЛЕКТРО";"ГИДРО";"АНЕМО";"ГЕО";"ДЕНДРО";"ФИЗУХА"}, 0), L76,L73,L75,L74,L78,L77,L79,L80)%+CHOOSE(MATCH(LOWER(TRIM(S113)),{"ЕШКА";"УЛЬТА";"ОБ. УДАРЫ";"ЗАР. УДАРЫ";"ПРЫЖКИ";"УНИК. УДАР"},0),J84%,J85%,J86%,J87%,J88%,0))
*(1-CHOOSE(MATCH(LOWER(TRIM(N113)),{"КРИО";"ПИРО";"ЭЛЕКТРО";"ГИДРО";"АНЕМО";"ГЕО";"ДЕНДРО";"ФИЗУХА"}, 0), C83,C80,C82,C81,E81,E82,E80,E83)%)*(D79),0)</f>
        <v>0</v>
      </c>
      <c r="K113" s="1031">
        <f t="array" ref="K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(1+L87%+CHOOSE(MATCH(LOWER(TRIM(N113)),{"КРИО";"ПИРО";"ЭЛЕКТРО";"ГИДРО";"АНЕМО";"ГЕО";"ДЕНДРО";"ФИЗУХА"}, 0), L76,L73,L75,L74,L78,L77,L79,L80)%+CHOOSE(MATCH(LOWER(TRIM(S113)),{"ЕШКА";"УЛЬТА";"ОБ. УДАРЫ";"ЗАР. УДАРЫ";"ПРЫЖКИ";"УНИК. УДАР"},0),J84%,J85%,J86%,J87%,J88%,0))
*(1+J76%)*(1-CHOOSE(MATCH(LOWER(TRIM(N113)),{"КРИО";"ПИРО";"ЭЛЕКТРО";"ГИДРО";"АНЕМО";"ГЕО";"ДЕНДРО";"ФИЗУХА"}, 0), C83,C80,C82,C81,E81,E82,E80,E83)%)*(D79),0)</f>
        <v>0</v>
      </c>
      <c r="L113" s="1031">
        <f t="array" ref="L113">ROUND((CHOOSE(MATCH(LOWER(TRIM(M113)),{"СА";"СА+ХП";"СА+МС";"СА+ЗЩ";"ХП";"ЗЩ"}, 0), J74,J74,J74,J74,J78,J79)*Q113%
+CHOOSE(MATCH(LOWER(TRIM(M113)),{"СА";"СА+ХП";"СА+МС";"СА+ЗЩ";"ХП";"ЗЩ"}, 0), 0,J78,J75,J79,0,0)*R113%+IF(L34=TRUE,L86+CHOOSE(MATCH(LOWER(TRIM(S113)),{"ЕШКА";"УЛЬТА";"ОБ. УДАРЫ";"ЗАР. УДАРЫ";"ПРЫЖКИ";"УНИК. УДАР"},0),L84,L85,L81,L82,L83,0),0)+
CHOOSE(MATCH(LOWER(TRIM(J34)),{"ПАР";"ОБ.ПАР";"ТАЯНИЕ";"ОБ.ТАЯНИЕ";"ОБОСТР.";"РАЗРАСТ.";"НЕТ"}, 0), 0,0,0,0,D102,D103,0))
*(1+L87%+CHOOSE(MATCH(LOWER(TRIM(N113)),{"КРИО";"ПИРО";"ЭЛЕКТРО";"ГИДРО";"АНЕМО";"ГЕО";"ДЕНДРО";"ФИЗУХА"}, 0), L76,L73,L75,L74,L78,L77,L79,L80)%+CHOOSE(MATCH(LOWER(TRIM(S113)),{"ЕШКА";"УЛЬТА";"ОБ. УДАРЫ";"ЗАР. УДАРЫ";"ПРЫЖКИ";"УНИК. УДАР"},0),J84%,J85%,J86%,J87%,J88%,0))
*(1+(J76%+CHOOSE(MATCH(LOWER(TRIM(S113)),{"ЕШКА";"УЛЬТА";"ОБ. УДАРЫ";"ЗАР. УДАРЫ";"ПРЫЖКИ";"УНИК. УДАР"},0),J91,J92,J89,J90,J93,0)%)*MIN((J77%+CHOOSE(MATCH(LOWER(TRIM(S113)),{"ЕШКА";"УЛЬТА";"ОБ. УДАРЫ";"ЗАР. УДАРЫ";"ПРЫЖКИ";"УНИК. УДАР"},0),L90,L91,L88,L89,L92,0)%),100%))*(1-CHOOSE(MATCH(LOWER(TRIM(N113)),{"КРИО";"ПИРО";"ЭЛЕКТРО";"ГИДРО";"АНЕМО";"ГЕО";"ДЕНДРО";"ФИЗУХА"}, 0), C83,C80,C82,C81,E81,E82,E80,E83)%)*(D79),0)</f>
        <v>0</v>
      </c>
      <c r="M113" s="629" t="s">
        <v>125</v>
      </c>
      <c r="N113" s="1021" t="s">
        <v>2181</v>
      </c>
      <c r="P113" s="627" t="str">
        <f t="shared" si="18"/>
        <v>УНИК. УДАР</v>
      </c>
      <c r="Q113" s="1032"/>
      <c r="R113" s="1033"/>
      <c r="S113" s="1024" t="s">
        <v>2157</v>
      </c>
      <c r="T113" s="1025" t="s">
        <v>2143</v>
      </c>
    </row>
    <row r="114" ht="19.5" customHeight="1">
      <c r="B114" s="1026" t="s">
        <v>2162</v>
      </c>
      <c r="C114" s="544"/>
      <c r="D114" s="1035">
        <f t="array" ref="D114">ROUND(0.6*(CHOOSE(MATCH(LOWER(TRIM(B23)),{"УРОВЕНЬ 100";"УРОВЕНЬ 95";"УРОВЕНЬ 90";"УРОВЕНЬ 80"},0),1674.8092,1561.468,1446.85,1077.44)*(1+(16*J75)/(2000+J75)+N84%)*(1-CHOOSE(MATCH(LOWER(TRIM(H114)),{"🔥ПИРО";"💧ГИДРО";"⚡️ЭЛЕКТРО";"❄️КРИО"},0),C80%,C81%,C82%,C83%))),0)</f>
        <v>2268</v>
      </c>
      <c r="E114" s="1042">
        <f t="array" ref="E114">ROUND(0.6*(CHOOSE(MATCH(LOWER(TRIM(B23)),{"УРОВЕНЬ 100";"УРОВЕНЬ 95";"УРОВЕНЬ 90";"УРОВЕНЬ 80"},0),1674.8092,1561.468,1446.85,1077.44)*(1+(16*J75)/(2000+J75)+N84%)*(1-CHOOSE(MATCH(LOWER(TRIM(H114)),{"🔥ПИРО";"💧ГИДРО";"⚡️ЭЛЕКТРО";"❄️КРИО"},0),C80%,C81%,C82%,C83%)))*CHOOSE(MATCH(LOWER(TRIM(B114)),{"РАССЕИВАНИЕ 1";"РАССЕИВ. + С6"},0), 1,2),0)</f>
        <v>2268</v>
      </c>
      <c r="F114" s="1043">
        <f t="array" ref="F114">ROUND(0.6*(CHOOSE(MATCH(LOWER(TRIM(B23)),{"УРОВЕНЬ 100";"УРОВЕНЬ 95";"УРОВЕНЬ 90";"УРОВЕНЬ 80"},0),1674.8092,1561.468,1446.85,,1077.44)*(1+(16*J75)/(2000+J75)+N84%)*(1-CHOOSE(MATCH(LOWER(TRIM(H114)),{"🔥ПИРО";"💧ГИДРО";"⚡️ЭЛЕКТРО";"❄️КРИО"},0),C80%,C81%,C82%,C83%)))*CHOOSE(MATCH(LOWER(TRIM(B114)),{"РАССЕИВАНИЕ 1";"РАССЕИВ. + С6"},0), 1,1.3),0)</f>
        <v>2268</v>
      </c>
      <c r="G114" s="816" t="s">
        <v>14</v>
      </c>
      <c r="H114" s="1029" t="s">
        <v>2163</v>
      </c>
      <c r="I114" s="627" t="str">
        <f t="shared" si="17"/>
        <v>УНИК. УДАР</v>
      </c>
      <c r="J114" s="1045">
        <f t="array" ref="J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(1+L87%+CHOOSE(MATCH(LOWER(TRIM(N114)),{"КРИО";"ПИРО";"ЭЛЕКТРО";"ГИДРО";"АНЕМО";"ГЕО";"ДЕНДРО";"ФИЗУХА"}, 0), L76,L73,L75,L74,L78,L77,L79,L80)%+CHOOSE(MATCH(LOWER(TRIM(S114)),{"ЕШКА";"УЛЬТА";"ОБ. УДАРЫ";"ЗАР. УДАРЫ";"ПРЫЖКИ";"УНИК. УДАР"},0),J84%,J85%,J86%,J87%,J88%,0))
*(1-CHOOSE(MATCH(LOWER(TRIM(N114)),{"КРИО";"ПИРО";"ЭЛЕКТРО";"ГИДРО";"АНЕМО";"ГЕО";"ДЕНДРО";"ФИЗУХА"}, 0), C83,C80,C82,C81,E81,E82,E80,E83)%)*(D79),0)</f>
        <v>0</v>
      </c>
      <c r="K114" s="1020">
        <f t="array" ref="K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(1+L87%+CHOOSE(MATCH(LOWER(TRIM(N114)),{"КРИО";"ПИРО";"ЭЛЕКТРО";"ГИДРО";"АНЕМО";"ГЕО";"ДЕНДРО";"ФИЗУХА"}, 0), L76,L73,L75,L74,L78,L77,L79,L80)%+CHOOSE(MATCH(LOWER(TRIM(S114)),{"ЕШКА";"УЛЬТА";"ОБ. УДАРЫ";"ЗАР. УДАРЫ";"ПРЫЖКИ";"УНИК. УДАР"},0),J84%,J85%,J86%,J87%,J88%,0))
*(1+J76%)*(1-CHOOSE(MATCH(LOWER(TRIM(N114)),{"КРИО";"ПИРО";"ЭЛЕКТРО";"ГИДРО";"АНЕМО";"ГЕО";"ДЕНДРО";"ФИЗУХА"}, 0), C83,C80,C82,C81,E81,E82,E80,E83)%)*(D79),0)</f>
        <v>0</v>
      </c>
      <c r="L114" s="1020">
        <f t="array" ref="L114">ROUND((CHOOSE(MATCH(LOWER(TRIM(M114)),{"СА";"СА+ХП";"СА+МС";"СА+ЗЩ";"ХП";"ЗЩ"}, 0), J74,J74,J74,J74,J78,J79)*Q114%
+CHOOSE(MATCH(LOWER(TRIM(M114)),{"СА";"СА+ХП";"СА+МС";"СА+ЗЩ";"ХП";"ЗЩ"}, 0), 0,J78,J75,J79,0,0)*R114%+IF(L35=TRUE,L86+CHOOSE(MATCH(LOWER(TRIM(S114)),{"ЕШКА";"УЛЬТА";"ОБ. УДАРЫ";"ЗАР. УДАРЫ";"ПРЫЖКИ";"УНИК. УДАР"},0),L84,L85,L81,L82,L83,0),0)+
CHOOSE(MATCH(LOWER(TRIM(J35)),{"ПАР";"ОБ.ПАР";"ТАЯНИЕ";"ОБ.ТАЯНИЕ";"ОБОСТР.";"РАЗРАСТ.";"НЕТ"}, 0), 0,0,0,0,D102,D103,0))
*(1+L87%+CHOOSE(MATCH(LOWER(TRIM(N114)),{"КРИО";"ПИРО";"ЭЛЕКТРО";"ГИДРО";"АНЕМО";"ГЕО";"ДЕНДРО";"ФИЗУХА"}, 0), L76,L73,L75,L74,L78,L77,L79,L80)%+CHOOSE(MATCH(LOWER(TRIM(S114)),{"ЕШКА";"УЛЬТА";"ОБ. УДАРЫ";"ЗАР. УДАРЫ";"ПРЫЖКИ";"УНИК. УДАР"},0),J84%,J85%,J86%,J87%,J88%,0))
*(1+(J76%+CHOOSE(MATCH(LOWER(TRIM(S114)),{"ЕШКА";"УЛЬТА";"ОБ. УДАРЫ";"ЗАР. УДАРЫ";"ПРЫЖКИ";"УНИК. УДАР"},0),J91,J92,J89,J90,J93,0)%)*MIN((J77%+CHOOSE(MATCH(LOWER(TRIM(S114)),{"ЕШКА";"УЛЬТА";"ОБ. УДАРЫ";"ЗАР. УДАРЫ";"ПРЫЖКИ";"УНИК. УДАР"},0),L90,L91,L88,L89,L92,0)%),100%))*(1-CHOOSE(MATCH(LOWER(TRIM(N114)),{"КРИО";"ПИРО";"ЭЛЕКТРО";"ГИДРО";"АНЕМО";"ГЕО";"ДЕНДРО";"ФИЗУХА"}, 0), C83,C80,C82,C81,E81,E82,E80,E83)%)*(D79),0)</f>
        <v>0</v>
      </c>
      <c r="M114" s="629" t="s">
        <v>125</v>
      </c>
      <c r="N114" s="1021" t="s">
        <v>2181</v>
      </c>
      <c r="P114" s="627" t="str">
        <f t="shared" si="18"/>
        <v>УНИК. УДАР</v>
      </c>
      <c r="Q114" s="1022"/>
      <c r="R114" s="1023"/>
      <c r="S114" s="1024" t="s">
        <v>2157</v>
      </c>
      <c r="T114" s="1025" t="s">
        <v>2143</v>
      </c>
    </row>
    <row r="115" ht="19.5" customHeight="1">
      <c r="B115" s="1026" t="s">
        <v>2164</v>
      </c>
      <c r="C115" s="544"/>
      <c r="D115" s="1036">
        <f t="array" ref="D115">ROUND(0.6*(CHOOSE(MATCH(LOWER(TRIM(B23)),{"УРОВЕНЬ 100";"УРОВЕНЬ 95";"УРОВЕНЬ 90";"УРОВЕНЬ 80"},0),1674.8092,1561.468,1446.85,1077.44)*(1+(16*J75)/(2000+J75)+N84%)*(1-CHOOSE(MATCH(LOWER(TRIM(H115)),{"🔥ПИРО";"💧ГИДРО";"⚡️ЭЛЕКТРО";"❄️КРИО"},0),C80%,C81%,C82%,C83%))),0)</f>
        <v>2268</v>
      </c>
      <c r="E115" s="628">
        <f t="array" ref="E115">ROUND(0.6*(CHOOSE(MATCH(LOWER(TRIM(B23)),{"УРОВЕНЬ 100";"УРОВЕНЬ 95";"УРОВЕНЬ 90";"УРОВЕНЬ 80"},0),1674.8092,1561.468,1446.85,1077.44)*(1+(16*J75)/(2000+J75)+N84%)*(1-CHOOSE(MATCH(LOWER(TRIM(H115)),{"🔥ПИРО";"💧ГИДРО";"⚡️ЭЛЕКТРО";"❄️КРИО"},0),C80%,C81%,C82%,C83%)))*CHOOSE(MATCH(LOWER(TRIM(B115)),{"РАССЕИВАНИЕ 2";"РАССЕИВ. + С6"},0),1,2),0)</f>
        <v>2268</v>
      </c>
      <c r="F115" s="1044">
        <f t="array" ref="F115">ROUND(0.6*(CHOOSE(MATCH(LOWER(TRIM(B23)),{"УРОВЕНЬ 100";"УРОВЕНЬ 95";"УРОВЕНЬ 90";"УРОВЕНЬ 80"},0),1674.8092,1561.468,1446.85,1077.44)*(1+(16*J75)/(2000+J75)+N84%)*(1-CHOOSE(MATCH(LOWER(TRIM(H115)),{"🔥ПИРО";"💧ГИДРО";"⚡️ЭЛЕКТРО";"❄️КРИО"},0),C80%,C81%,C82%,C83%)))*CHOOSE(MATCH(LOWER(TRIM(B115)),{"РАССЕИВАНИЕ 2";"РАССЕИВ. + С6"},0),1,1.3),0)</f>
        <v>2268</v>
      </c>
      <c r="G115" s="629" t="s">
        <v>14</v>
      </c>
      <c r="H115" s="1029" t="s">
        <v>2165</v>
      </c>
      <c r="I115" s="627" t="str">
        <f t="shared" si="17"/>
        <v>УНИК. УДАР</v>
      </c>
      <c r="J115" s="1030">
        <f t="array" ref="J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*(1-CHOOSE(MATCH(LOWER(TRIM(N115)),{"КРИО";"ПИРО";"ЭЛЕКТРО";"ГИДРО";"АНЕМО";"ГЕО";"ДЕНДРО";"ФИЗУХА"}, 0), C83,C80,C82,C81,E81,E82,E80,E83)%)*(D79),0)</f>
        <v>0</v>
      </c>
      <c r="K115" s="1031">
        <f t="array" ref="K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(1+L87%+CHOOSE(MATCH(LOWER(TRIM(N115)),{"КРИО";"ПИРО";"ЭЛЕКТРО";"ГИДРО";"АНЕМО";"ГЕО";"ДЕНДРО";"ФИЗУХА"}, 0), L76,L73,L75,L74,L78,L77,L79,L80)%+CHOOSE(MATCH(LOWER(TRIM(S115)),{"ЕШКА";"УЛЬТА";"ОБ. УДАРЫ";"ЗАР. УДАРЫ";"ПРЫЖКИ";"УНИК. УДАР"},0),J84%,J85%,J86%,J87%,J88%,0))
*(1+J76%)*(1-CHOOSE(MATCH(LOWER(TRIM(N115)),{"КРИО";"ПИРО";"ЭЛЕКТРО";"ГИДРО";"АНЕМО";"ГЕО";"ДЕНДРО";"ФИЗУХА"}, 0), C83,C80,C82,C81,E81,E82,E80,E83)%)*(D79),0)</f>
        <v>0</v>
      </c>
      <c r="L115" s="1031">
        <f t="array" ref="L115">ROUND((CHOOSE(MATCH(LOWER(TRIM(M115)),{"СА";"СА+ХП";"СА+МС";"СА+ЗЩ";"ХП";"ЗЩ"}, 0), J74,J74,J74,J74,J78,J79)*Q115%
+CHOOSE(MATCH(LOWER(TRIM(M115)),{"СА";"СА+ХП";"СА+МС";"СА+ЗЩ";"ХП";"ЗЩ"}, 0), 0,J78,J75,J79,0,0)*R115%+IF(L36=TRUE,L86+CHOOSE(MATCH(LOWER(TRIM(S115)),{"ЕШКА";"УЛЬТА";"ОБ. УДАРЫ";"ЗАР. УДАРЫ";"ПРЫЖКИ";"УНИК. УДАР"},0),L84,L85,L81,L82,L83,0),0)+
CHOOSE(MATCH(LOWER(TRIM(J36)),{"ПАР";"ОБ.ПАР";"ТАЯНИЕ";"ОБ.ТАЯНИЕ";"ОБОСТР.";"РАЗРАСТ.";"НЕТ"}, 0), 0,0,0,0,D102,D103,0))
*(1+L87%+CHOOSE(MATCH(LOWER(TRIM(N115)),{"КРИО";"ПИРО";"ЭЛЕКТРО";"ГИДРО";"АНЕМО";"ГЕО";"ДЕНДРО";"ФИЗУХА"}, 0), L76,L73,L75,L74,L78,L77,L79,L80)%+CHOOSE(MATCH(LOWER(TRIM(S115)),{"ЕШКА";"УЛЬТА";"ОБ. УДАРЫ";"ЗАР. УДАРЫ";"ПРЫЖКИ";"УНИК. УДАР"},0),J84%,J85%,J86%,J87%,J88%,0))
*(1+(J76%+CHOOSE(MATCH(LOWER(TRIM(S115)),{"ЕШКА";"УЛЬТА";"ОБ. УДАРЫ";"ЗАР. УДАРЫ";"ПРЫЖКИ";"УНИК. УДАР"},0),J91,J92,J89,J90,J93,0)%)*MIN((J77%+CHOOSE(MATCH(LOWER(TRIM(S115)),{"ЕШКА";"УЛЬТА";"ОБ. УДАРЫ";"ЗАР. УДАРЫ";"ПРЫЖКИ";"УНИК. УДАР"},0),L90,L91,L88,L89,L92,0)%),100%))*(1-CHOOSE(MATCH(LOWER(TRIM(N115)),{"КРИО";"ПИРО";"ЭЛЕКТРО";"ГИДРО";"АНЕМО";"ГЕО";"ДЕНДРО";"ФИЗУХА"}, 0), C83,C80,C82,C81,E81,E82,E80,E83)%)*(D79),0)</f>
        <v>0</v>
      </c>
      <c r="M115" s="629" t="s">
        <v>125</v>
      </c>
      <c r="N115" s="1021" t="s">
        <v>2181</v>
      </c>
      <c r="P115" s="627" t="str">
        <f t="shared" si="18"/>
        <v>УНИК. УДАР</v>
      </c>
      <c r="Q115" s="1032"/>
      <c r="R115" s="1033"/>
      <c r="S115" s="1024" t="s">
        <v>2157</v>
      </c>
      <c r="T115" s="1025" t="s">
        <v>2143</v>
      </c>
    </row>
    <row r="116" ht="19.5" customHeight="1">
      <c r="B116" s="1014" t="s">
        <v>2046</v>
      </c>
      <c r="C116" s="544"/>
      <c r="D116" s="1035">
        <f t="array" ref="D116">ROUND(3*(CHOOSE(MATCH(LOWER(TRIM(B23)),{"УРОВЕНЬ 100";"УРОВЕНЬ 95";"УРОВЕНЬ 90";"УРОВЕНЬ 80"},0),1674.8092,1561.468,1446.85,1077.44)*(1+(16*J75)/(2000+J75)+N85%)*(1-E83%)),0)</f>
        <v>11341</v>
      </c>
      <c r="E116" s="817" t="s">
        <v>14</v>
      </c>
      <c r="F116" s="1016" t="s">
        <v>14</v>
      </c>
      <c r="G116" s="816" t="s">
        <v>14</v>
      </c>
      <c r="H116" s="1018" t="s">
        <v>2166</v>
      </c>
      <c r="I116" s="627" t="str">
        <f t="shared" si="17"/>
        <v>УНИК. УДАР</v>
      </c>
      <c r="J116" s="1034">
        <f t="array" ref="J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*(1-CHOOSE(MATCH(LOWER(TRIM(N116)),{"КРИО";"ПИРО";"ЭЛЕКТРО";"ГИДРО";"АНЕМО";"ГЕО";"ДЕНДРО";"ФИЗУХА"}, 0), C83,C80,C82,C81,E81,E82,E80,E83)%)*(D79),0)</f>
        <v>0</v>
      </c>
      <c r="K116" s="1020">
        <f t="array" ref="K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(1+L87%+CHOOSE(MATCH(LOWER(TRIM(N116)),{"КРИО";"ПИРО";"ЭЛЕКТРО";"ГИДРО";"АНЕМО";"ГЕО";"ДЕНДРО";"ФИЗУХА"}, 0), L76,L73,L75,L74,L78,L77,L79,L80)%+CHOOSE(MATCH(LOWER(TRIM(S116)),{"ЕШКА";"УЛЬТА";"ОБ. УДАРЫ";"ЗАР. УДАРЫ";"ПРЫЖКИ";"УНИК. УДАР"},0),J84%,J85%,J86%,J87%,J88%,0))
*(1+J76%)*(1-CHOOSE(MATCH(LOWER(TRIM(N116)),{"КРИО";"ПИРО";"ЭЛЕКТРО";"ГИДРО";"АНЕМО";"ГЕО";"ДЕНДРО";"ФИЗУХА"}, 0), C83,C80,C82,C81,E81,E82,E80,E83)%)*(D79),0)</f>
        <v>0</v>
      </c>
      <c r="L116" s="1020">
        <f t="array" ref="L116">ROUND((CHOOSE(MATCH(LOWER(TRIM(M116)),{"СА";"СА+ХП";"СА+МС";"СА+ЗЩ";"ХП";"ЗЩ"}, 0), J74,J74,J74,J74,J78,J79)*Q116%
+CHOOSE(MATCH(LOWER(TRIM(M116)),{"СА";"СА+ХП";"СА+МС";"СА+ЗЩ";"ХП";"ЗЩ"}, 0), 0,J78,J75,J79,0,0)*R116%+IF(L37=TRUE,L86+CHOOSE(MATCH(LOWER(TRIM(S116)),{"ЕШКА";"УЛЬТА";"ОБ. УДАРЫ";"ЗАР. УДАРЫ";"ПРЫЖКИ";"УНИК. УДАР"},0),L84,L85,L81,L82,L83,0),0)+
CHOOSE(MATCH(LOWER(TRIM(J37)),{"ПАР";"ОБ.ПАР";"ТАЯНИЕ";"ОБ.ТАЯНИЕ";"ОБОСТР.";"РАЗРАСТ.";"НЕТ"}, 0), 0,0,0,0,D102,D103,0))
*(1+L87%+CHOOSE(MATCH(LOWER(TRIM(N116)),{"КРИО";"ПИРО";"ЭЛЕКТРО";"ГИДРО";"АНЕМО";"ГЕО";"ДЕНДРО";"ФИЗУХА"}, 0), L76,L73,L75,L74,L78,L77,L79,L80)%+CHOOSE(MATCH(LOWER(TRIM(S116)),{"ЕШКА";"УЛЬТА";"ОБ. УДАРЫ";"ЗАР. УДАРЫ";"ПРЫЖКИ";"УНИК. УДАР"},0),J84%,J85%,J86%,J87%,J88%,0))
*(1+(J76%+CHOOSE(MATCH(LOWER(TRIM(S116)),{"ЕШКА";"УЛЬТА";"ОБ. УДАРЫ";"ЗАР. УДАРЫ";"ПРЫЖКИ";"УНИК. УДАР"},0),J91,J92,J89,J90,J93,0)%)*MIN((J77%+CHOOSE(MATCH(LOWER(TRIM(S116)),{"ЕШКА";"УЛЬТА";"ОБ. УДАРЫ";"ЗАР. УДАРЫ";"ПРЫЖКИ";"УНИК. УДАР"},0),L90,L91,L88,L89,L92,0)%),100%))*(1-CHOOSE(MATCH(LOWER(TRIM(N116)),{"КРИО";"ПИРО";"ЭЛЕКТРО";"ГИДРО";"АНЕМО";"ГЕО";"ДЕНДРО";"ФИЗУХА"}, 0), C83,C80,C82,C81,E81,E82,E80,E83)%)*(D79),0)</f>
        <v>0</v>
      </c>
      <c r="M116" s="629" t="s">
        <v>125</v>
      </c>
      <c r="N116" s="1021" t="s">
        <v>2181</v>
      </c>
      <c r="P116" s="627" t="str">
        <f t="shared" si="18"/>
        <v>УНИК. УДАР</v>
      </c>
      <c r="Q116" s="1022"/>
      <c r="R116" s="1023"/>
      <c r="S116" s="1024" t="s">
        <v>2157</v>
      </c>
      <c r="T116" s="1025" t="s">
        <v>2143</v>
      </c>
    </row>
    <row r="117" ht="19.5" customHeight="1">
      <c r="B117" s="1026" t="s">
        <v>2167</v>
      </c>
      <c r="C117" s="544"/>
      <c r="D117" s="1036">
        <f t="array" ref="D117">ROUND(1.5*(CHOOSE(MATCH(LOWER(TRIM(B23)),{"УРОВЕНЬ 100";"УРОВЕНЬ 95";"УРОВЕНЬ 90";"УРОВЕНЬ 80"},0),1674.8092,1561.468,1446.85,1077.44)*(1+(16*J75)/(2000+J75)+N86%)*(1-C83%)),0)</f>
        <v>5670</v>
      </c>
      <c r="E117" s="630" t="s">
        <v>14</v>
      </c>
      <c r="F117" s="573" t="s">
        <v>14</v>
      </c>
      <c r="G117" s="629" t="s">
        <v>14</v>
      </c>
      <c r="H117" s="1029" t="s">
        <v>567</v>
      </c>
      <c r="I117" s="627" t="str">
        <f t="shared" si="17"/>
        <v>УНИК. УДАР</v>
      </c>
      <c r="J117" s="1030">
        <f t="array" ref="J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*(1-CHOOSE(MATCH(LOWER(TRIM(N117)),{"КРИО";"ПИРО";"ЭЛЕКТРО";"ГИДРО";"АНЕМО";"ГЕО";"ДЕНДРО";"ФИЗУХА"}, 0), C83,C80,C82,C81,E81,E82,E80,E83)%)*(D79),0)</f>
        <v>0</v>
      </c>
      <c r="K117" s="1031">
        <f t="array" ref="K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(1+L87%+CHOOSE(MATCH(LOWER(TRIM(N117)),{"КРИО";"ПИРО";"ЭЛЕКТРО";"ГИДРО";"АНЕМО";"ГЕО";"ДЕНДРО";"ФИЗУХА"}, 0), L76,L73,L75,L74,L78,L77,L79,L80)%+CHOOSE(MATCH(LOWER(TRIM(S117)),{"ЕШКА";"УЛЬТА";"ОБ. УДАРЫ";"ЗАР. УДАРЫ";"ПРЫЖКИ";"УНИК. УДАР"},0),J84%,J85%,J86%,J87%,J88%,0))
*(1+J76%)*(1-CHOOSE(MATCH(LOWER(TRIM(N117)),{"КРИО";"ПИРО";"ЭЛЕКТРО";"ГИДРО";"АНЕМО";"ГЕО";"ДЕНДРО";"ФИЗУХА"}, 0), C83,C80,C82,C81,E81,E82,E80,E83)%)*(D79),0)</f>
        <v>0</v>
      </c>
      <c r="L117" s="1031">
        <f t="array" ref="L117">ROUND((CHOOSE(MATCH(LOWER(TRIM(M117)),{"СА";"СА+ХП";"СА+МС";"СА+ЗЩ";"ХП";"ЗЩ"}, 0), J74,J74,J74,J74,J78,J79)*Q117%
+CHOOSE(MATCH(LOWER(TRIM(M117)),{"СА";"СА+ХП";"СА+МС";"СА+ЗЩ";"ХП";"ЗЩ"}, 0), 0,J78,J75,J79,0,0)*R117%+IF(L38=TRUE,L86+CHOOSE(MATCH(LOWER(TRIM(S117)),{"ЕШКА";"УЛЬТА";"ОБ. УДАРЫ";"ЗАР. УДАРЫ";"ПРЫЖКИ";"УНИК. УДАР"},0),L84,L85,L81,L82,L83,0),0)+
CHOOSE(MATCH(LOWER(TRIM(J38)),{"ПАР";"ОБ.ПАР";"ТАЯНИЕ";"ОБ.ТАЯНИЕ";"ОБОСТР.";"РАЗРАСТ.";"НЕТ"}, 0), 0,0,0,0,D102,D103,0))
*(1+L87%+CHOOSE(MATCH(LOWER(TRIM(N117)),{"КРИО";"ПИРО";"ЭЛЕКТРО";"ГИДРО";"АНЕМО";"ГЕО";"ДЕНДРО";"ФИЗУХА"}, 0), L76,L73,L75,L74,L78,L77,L79,L80)%+CHOOSE(MATCH(LOWER(TRIM(S117)),{"ЕШКА";"УЛЬТА";"ОБ. УДАРЫ";"ЗАР. УДАРЫ";"ПРЫЖКИ";"УНИК. УДАР"},0),J84%,J85%,J86%,J87%,J88%,0))
*(1+(J76%+CHOOSE(MATCH(LOWER(TRIM(S117)),{"ЕШКА";"УЛЬТА";"ОБ. УДАРЫ";"ЗАР. УДАРЫ";"ПРЫЖКИ";"УНИК. УДАР"},0),J91,J92,J89,J90,J93,0)%)*MIN((J77%+CHOOSE(MATCH(LOWER(TRIM(S117)),{"ЕШКА";"УЛЬТА";"ОБ. УДАРЫ";"ЗАР. УДАРЫ";"ПРЫЖКИ";"УНИК. УДАР"},0),L90,L91,L88,L89,L92,0)%),100%))*(1-CHOOSE(MATCH(LOWER(TRIM(N117)),{"КРИО";"ПИРО";"ЭЛЕКТРО";"ГИДРО";"АНЕМО";"ГЕО";"ДЕНДРО";"ФИЗУХА"}, 0), C83,C80,C82,C81,E81,E82,E80,E83)%)*(D79),0)</f>
        <v>0</v>
      </c>
      <c r="M117" s="629" t="s">
        <v>125</v>
      </c>
      <c r="N117" s="1021" t="s">
        <v>2181</v>
      </c>
      <c r="P117" s="627" t="str">
        <f t="shared" si="18"/>
        <v>УНИК. УДАР</v>
      </c>
      <c r="Q117" s="1032"/>
      <c r="R117" s="1033"/>
      <c r="S117" s="1024" t="s">
        <v>2157</v>
      </c>
      <c r="T117" s="1025" t="s">
        <v>2143</v>
      </c>
    </row>
    <row r="118" ht="19.5" customHeight="1">
      <c r="B118" s="1046" t="s">
        <v>2168</v>
      </c>
      <c r="C118" s="1047"/>
      <c r="D118" s="1048">
        <f t="array" ref="D118">ROUND(((CHOOSE(MATCH(LOWER(TRIM(B23)),{"УРОВЕНЬ 100";"УРОВЕНЬ 95";"УРОВЕНЬ 90";"УРОВЕНЬ 80"},0),2143.46,1997.23,1851,1597)+(CHOOSE(MATCH(LOWER(TRIM(B23)),{"УРОВЕНЬ 100";"УРОВЕНЬ 95";"УРОВЕНЬ 90";"УРОВЕНЬ 80"},0),2143.46,1997.23,1851,1597)*(4.44*(J75/(1400+J75)))))*(1+J83%)),0)</f>
        <v>3657</v>
      </c>
      <c r="E118" s="1049" t="s">
        <v>14</v>
      </c>
      <c r="F118" s="1050" t="s">
        <v>14</v>
      </c>
      <c r="G118" s="1051" t="s">
        <v>14</v>
      </c>
      <c r="H118" s="1052" t="s">
        <v>2169</v>
      </c>
      <c r="I118" s="627" t="str">
        <f t="shared" si="17"/>
        <v>УНИК. УДАР</v>
      </c>
      <c r="J118" s="1034">
        <f t="array" ref="J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*(1-CHOOSE(MATCH(LOWER(TRIM(N118)),{"КРИО";"ПИРО";"ЭЛЕКТРО";"ГИДРО";"АНЕМО";"ГЕО";"ДЕНДРО";"ФИЗУХА"}, 0), C83,C80,C82,C81,E81,E82,E80,E83)%)*(D79),0)</f>
        <v>0</v>
      </c>
      <c r="K118" s="1020">
        <f t="array" ref="K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(1+L87%+CHOOSE(MATCH(LOWER(TRIM(N118)),{"КРИО";"ПИРО";"ЭЛЕКТРО";"ГИДРО";"АНЕМО";"ГЕО";"ДЕНДРО";"ФИЗУХА"}, 0), L76,L73,L75,L74,L78,L77,L79,L80)%+CHOOSE(MATCH(LOWER(TRIM(S118)),{"ЕШКА";"УЛЬТА";"ОБ. УДАРЫ";"ЗАР. УДАРЫ";"ПРЫЖКИ";"УНИК. УДАР"},0),J84%,J85%,J86%,J87%,J88%,0))
*(1+J76%)*(1-CHOOSE(MATCH(LOWER(TRIM(N118)),{"КРИО";"ПИРО";"ЭЛЕКТРО";"ГИДРО";"АНЕМО";"ГЕО";"ДЕНДРО";"ФИЗУХА"}, 0), C83,C80,C82,C81,E81,E82,E80,E83)%)*(D79),0)</f>
        <v>0</v>
      </c>
      <c r="L118" s="1020">
        <f t="array" ref="L118">ROUND((CHOOSE(MATCH(LOWER(TRIM(M118)),{"СА";"СА+ХП";"СА+МС";"СА+ЗЩ";"ХП";"ЗЩ"}, 0), J74,J74,J74,J74,J78,J79)*Q118%
+CHOOSE(MATCH(LOWER(TRIM(M118)),{"СА";"СА+ХП";"СА+МС";"СА+ЗЩ";"ХП";"ЗЩ"}, 0), 0,J78,J75,J79,0,0)*R118%+IF(L39=TRUE,L86+CHOOSE(MATCH(LOWER(TRIM(S118)),{"ЕШКА";"УЛЬТА";"ОБ. УДАРЫ";"ЗАР. УДАРЫ";"ПРЫЖКИ";"УНИК. УДАР"},0),L84,L85,L81,L82,L83,0),0)
+CHOOSE(MATCH(LOWER(TRIM(J39)),{"ПАР";"ОБ.ПАР";"ТАЯНИЕ";"ОБ.ТАЯНИЕ";"ОБОСТР.";"РАЗРАСТ.";"НЕТ"}, 0), 0,0,0,0,D102,D103,0))
*(1+L87%+CHOOSE(MATCH(LOWER(TRIM(N118)),{"КРИО";"ПИРО";"ЭЛЕКТРО";"ГИДРО";"АНЕМО";"ГЕО";"ДЕНДРО";"ФИЗУХА"},0), L76,L73,L75,L74,L78,L77,L79,L80)%+CHOOSE(MATCH(LOWER(TRIM(S118)),{"ЕШКА";"УЛЬТА";"ОБ. УДАРЫ";"ЗАР. УДАРЫ";"ПРЫЖКИ";"УНИК. УДАР"},0), J84%,J85%,J86%,J87%,J88%,0))
*(1+(J76%+CHOOSE(MATCH(LOWER(TRIM(S118)),{"ЕШКА";"УЛЬТА";"ОБ. УДАРЫ";"ЗАР. УДАРЫ";"ПРЫЖКИ";"УНИК. УДАР"},0),J91,J92,J89,J90,J93,0)%)*MIN((J77%+CHOOSE(MATCH(LOWER(TRIM(S118)),{"ЕШКА";"УЛЬТА";"ОБ. УДАРЫ";"ЗАР. УДАРЫ";"ПРЫЖКИ";"УНИК. УДАР"},0),L90,L91,L88,L89,L92,0)%),100%))*(1-CHOOSE(MATCH(LOWER(TRIM(N118)),{"КРИО";"ПИРО";"ЭЛЕКТРО";"ГИДРО";"АНЕМО";"ГЕО";"ДЕНДРО";"ФИЗУХА"},0), C83,C80,C82,C81,E81,E82,E80,E83)%)*(D79),0)</f>
        <v>0</v>
      </c>
      <c r="M118" s="629" t="s">
        <v>125</v>
      </c>
      <c r="N118" s="1021" t="s">
        <v>2181</v>
      </c>
      <c r="P118" s="627" t="str">
        <f t="shared" si="18"/>
        <v>УНИК. УДАР</v>
      </c>
      <c r="Q118" s="1022"/>
      <c r="R118" s="1023"/>
      <c r="S118" s="1024" t="s">
        <v>2157</v>
      </c>
      <c r="T118" s="1025" t="s">
        <v>2143</v>
      </c>
    </row>
    <row r="119" ht="19.5" customHeight="1">
      <c r="B119" s="473"/>
      <c r="I119" s="627" t="str">
        <f t="shared" si="17"/>
        <v>УНИК. УДАР</v>
      </c>
      <c r="J119" s="1030">
        <f t="array" ref="J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*(1-CHOOSE(MATCH(LOWER(TRIM(N119)),{"КРИО";"ПИРО";"ЭЛЕКТРО";"ГИДРО";"АНЕМО";"ГЕО";"ДЕНДРО";"ФИЗУХА"}, 0), C83,C80,C82,C81,E81,E82,E80,E83)%)*(D79),0)</f>
        <v>0</v>
      </c>
      <c r="K119" s="1031">
        <f t="array" ref="K119">ROUND((CHOOSE(MATCH(LOWER(TRIM(M119)),{"СА";"СА+ХП";"СА+МС";"СА+ЗЩ";"ХП";"ЗЩ"}, 0), J74,J74,J74,J74,J78,J79)*Q119%
+CHOOSE(MATCH(LOWER(TRIM(M119)),{"СА";"СА+ХП";"СА+МС";"СА+ЗЩ";"ХП";"ЗЩ"}, 0), 0,J78,J75,J79,0,0)*R119%+IF(L40=TRUE,L86+CHOOSE(MATCH(LOWER(TRIM(S119)),{"ЕШКА";"УЛЬТА";"ОБ. УДАРЫ";"ЗАР. УДАРЫ";"ПРЫЖКИ";"УНИК. УДАР"},0),L84,L85,L81,L82,L83,0),0))*
(1+L87%+CHOOSE(MATCH(LOWER(TRIM(N119)),{"КРИО";"ПИРО";"ЭЛЕКТРО";"ГИДРО";"АНЕМО";"ГЕО";"ДЕНДРО";"ФИЗУХА"}, 0), L76,L73,L75,L74,L78,L77,L79,L80)%+CHOOSE(MATCH(LOWER(TRIM(S119)),{"ЕШКА";"УЛЬТА";"ОБ. УДАРЫ";"ЗАР. УДАРЫ";"ПРЫЖКИ";"УНИК. УДАР"},0),J84%,J85%,J86%,J87%,J88%,0))
*(1+J76%)*(1-CHOOSE(MATCH(LOWER(TRIM(N119)),{"КРИО";"ПИРО";"ЭЛЕКТРО";"ГИДРО";"АНЕМО";"ГЕО";"ДЕНДРО";"ФИЗУХА"}, 0), C83,C80,C82,C81,E81,E82,E80,E83)%)*(D79),0)</f>
        <v>0</v>
      </c>
      <c r="L119" s="1031">
        <f t="array" ref="L119">ROUND((CHOOSE(MATCH(LOWER(TRIM(M119)),{"СА";"СА+ХП";"СА+МС";"СА+ЗЩ";"ХП";"ЗЩ"},0), J74,J74,J74,J74,J78,J79)*Q119%
+CHOOSE(MATCH(LOWER(TRIM(M119)),{"СА";"СА+ХП";"СА+МС";"СА+ЗЩ";"ХП";"ЗЩ"},0), 0,J78,J75,J79,0,0)*R119%+IF(L40=TRUE,L86+CHOOSE(MATCH(LOWER(TRIM(S119)),{"ЕШКА";"УЛЬТА";"ОБ. УДАРЫ";"ЗАР. УДАРЫ";"ПРЫЖКИ";"УНИК. УДАР"},0),L84,L85,L81,L82,L83,0),0)
+CHOOSE(MATCH(LOWER(TRIM(J40)),{"ПАР";"ОБ.ПАР";"ТАЯНИЕ";"ОБ.ТАЯНИЕ";"ОБОСТР.";"РАЗРАСТ.";"НЕТ"},0), 0,0,0,0,D102,D103,0))
*(1+L87%+CHOOSE(MATCH(LOWER(TRIM(N119)),{"КРИО";"ПИРО";"ЭЛЕКТРО";"ГИДРО";"АНЕМО";"ГЕО";"ДЕНДРО";"ФИЗУХА"},0), L76,L73,L75,L74,L78,L77,L79,L80)%+CHOOSE(MATCH(LOWER(TRIM(S119)),{"ЕШКА";"УЛЬТА";"ОБ. УДАРЫ";"ЗАР. УДАРЫ";"ПРЫЖКИ";"УНИК. УДАР"},0), J84%,J85%,J86%,J87%,J88%,0))
*(1+(J76%+CHOOSE(MATCH(LOWER(TRIM(S119)),{"ЕШКА";"УЛЬТА";"ОБ. УДАРЫ";"ЗАР. УДАРЫ";"ПРЫЖКИ";"УНИК. УДАР"},0),J91,J92,J89,J90,J93,0)%)*MIN((J77%+CHOOSE(MATCH(LOWER(TRIM(S119)),{"ЕШКА";"УЛЬТА";"ОБ. УДАРЫ";"ЗАР. УДАРЫ";"ПРЫЖКИ";"УНИК. УДАР"},0),L90,L91,L88,L89,L92,0)%),100%))*(1-CHOOSE(MATCH(LOWER(TRIM(N119)),{"КРИО";"ПИРО";"ЭЛЕКТРО";"ГИДРО";"АНЕМО";"ГЕО";"ДЕНДРО";"ФИЗУХА"},0), C83,C80,C82,C81,E81,E82,E80,E83)%)*(D79),0)</f>
        <v>0</v>
      </c>
      <c r="M119" s="629" t="s">
        <v>125</v>
      </c>
      <c r="N119" s="1021" t="s">
        <v>2181</v>
      </c>
      <c r="P119" s="627" t="str">
        <f t="shared" si="18"/>
        <v>УНИК. УДАР</v>
      </c>
      <c r="Q119" s="1032"/>
      <c r="R119" s="1033"/>
      <c r="S119" s="1024" t="s">
        <v>2157</v>
      </c>
      <c r="T119" s="1025" t="s">
        <v>2143</v>
      </c>
    </row>
    <row r="120" ht="19.5" customHeight="1">
      <c r="I120" s="627" t="str">
        <f t="shared" si="17"/>
        <v>УНИК. УДАР</v>
      </c>
      <c r="J120" s="1034">
        <f t="array" ref="J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*(1-CHOOSE(MATCH(LOWER(TRIM(N120)),{"КРИО";"ПИРО";"ЭЛЕКТРО";"ГИДРО";"АНЕМО";"ГЕО";"ДЕНДРО";"ФИЗУХА"}, 0), C83,C80,C82,C81,E81,E82,E80,E83)%)*(D79),0)</f>
        <v>0</v>
      </c>
      <c r="K120" s="1020">
        <f t="array" ref="K120">ROUND((CHOOSE(MATCH(LOWER(TRIM(M120)),{"СА";"СА+ХП";"СА+МС";"СА+ЗЩ";"ХП";"ЗЩ"}, 0), J74,J74,J74,J74,J78,J79)*Q120%
+CHOOSE(MATCH(LOWER(TRIM(M120)),{"СА";"СА+ХП";"СА+МС";"СА+ЗЩ";"ХП";"ЗЩ"}, 0), 0,J78,J75,J79,0,0)*R120%+IF(L41=TRUE,L86+CHOOSE(MATCH(LOWER(TRIM(S120)),{"ЕШКА";"УЛЬТА";"ОБ. УДАРЫ";"ЗАР. УДАРЫ";"ПРЫЖКИ";"УНИК. УДАР"},0),L84,L85,L81,L82,L83,0),0))*
(1+L87%+CHOOSE(MATCH(LOWER(TRIM(N120)),{"КРИО";"ПИРО";"ЭЛЕКТРО";"ГИДРО";"АНЕМО";"ГЕО";"ДЕНДРО";"ФИЗУХА"}, 0), L76,L73,L75,L74,L78,L77,L79,L80)%+CHOOSE(MATCH(LOWER(TRIM(S120)),{"ЕШКА";"УЛЬТА";"ОБ. УДАРЫ";"ЗАР. УДАРЫ";"ПРЫЖКИ";"УНИК. УДАР"},0),J84%,J85%,J86%,J87%,J88%,0))
*(1+J76%)*(1-CHOOSE(MATCH(LOWER(TRIM(N120)),{"КРИО";"ПИРО";"ЭЛЕКТРО";"ГИДРО";"АНЕМО";"ГЕО";"ДЕНДРО";"ФИЗУХА"}, 0), C83,C80,C82,C81,E81,E82,E80,E83)%)*(D79),0)</f>
        <v>0</v>
      </c>
      <c r="L120" s="1020">
        <f t="array" ref="L120">ROUND((CHOOSE(MATCH(LOWER(TRIM(M120)),{"СА";"СА+ХП";"СА+МС";"СА+ЗЩ";"ХП";"ЗЩ"},0), J74,J74,J74,J74,J78,J79)*Q120%
+CHOOSE(MATCH(LOWER(TRIM(M120)),{"СА";"СА+ХП";"СА+МС";"СА+ЗЩ";"ХП";"ЗЩ"},0), 0,J78,J75,J79,0,0)*R120%+IF(L41=TRUE,L86+CHOOSE(MATCH(LOWER(TRIM(S120)),{"ЕШКА";"УЛЬТА";"ОБ. УДАРЫ";"ЗАР. УДАРЫ";"ПРЫЖКИ";"УНИК. УДАР"},0),L84,L85,L81,L82,L83,0),0)
+CHOOSE(MATCH(LOWER(TRIM(J41)),{"ПАР";"ОБ.ПАР";"ТАЯНИЕ";"ОБ.ТАЯНИЕ";"ОБОСТР.";"РАЗРАСТ.";"НЕТ"},0), 0,0,0,0,D102,D103,0))
*(1+L87%+CHOOSE(MATCH(LOWER(TRIM(N120)),{"КРИО";"ПИРО";"ЭЛЕКТРО";"ГИДРО";"АНЕМО";"ГЕО";"ДЕНДРО";"ФИЗУХА"},0), L76,L73,L75,L74,L78,L77,L79,L80)%+CHOOSE(MATCH(LOWER(TRIM(S120)),{"ЕШКА";"УЛЬТА";"ОБ. УДАРЫ";"ЗАР. УДАРЫ";"ПРЫЖКИ";"УНИК. УДАР"},0), J84%,J85%,J86%,J87%,J88%,0))
*(1+(J76%+CHOOSE(MATCH(LOWER(TRIM(S120)),{"ЕШКА";"УЛЬТА";"ОБ. УДАРЫ";"ЗАР. УДАРЫ";"ПРЫЖКИ";"УНИК. УДАР"},0),J91,J92,J89,J90,J93,0)%)*MIN((J77%+CHOOSE(MATCH(LOWER(TRIM(S120)),{"ЕШКА";"УЛЬТА";"ОБ. УДАРЫ";"ЗАР. УДАРЫ";"ПРЫЖКИ";"УНИК. УДАР"},0),L90,L91,L88,L89,L92,0)%),100%))*(1-CHOOSE(MATCH(LOWER(TRIM(N120)),{"КРИО";"ПИРО";"ЭЛЕКТРО";"ГИДРО";"АНЕМО";"ГЕО";"ДЕНДРО";"ФИЗУХА"},0), C83,C80,C82,C81,E81,E82,E80,E83)%)*(D79),0)</f>
        <v>0</v>
      </c>
      <c r="M120" s="629" t="s">
        <v>125</v>
      </c>
      <c r="N120" s="1021" t="s">
        <v>2181</v>
      </c>
      <c r="P120" s="627" t="str">
        <f t="shared" si="18"/>
        <v>УНИК. УДАР</v>
      </c>
      <c r="Q120" s="1022"/>
      <c r="R120" s="1023"/>
      <c r="S120" s="1024" t="s">
        <v>2157</v>
      </c>
      <c r="T120" s="1025" t="s">
        <v>2143</v>
      </c>
    </row>
    <row r="121" ht="19.5" customHeight="1">
      <c r="I121" s="627" t="str">
        <f t="shared" si="17"/>
        <v>УНИК. УДАР</v>
      </c>
      <c r="J121" s="1030">
        <f t="array" ref="J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*(1-CHOOSE(MATCH(LOWER(TRIM(N121)),{"КРИО";"ПИРО";"ЭЛЕКТРО";"ГИДРО";"АНЕМО";"ГЕО";"ДЕНДРО";"ФИЗУХА"}, 0), C83,C80,C82,C81,E81,E82,E80,E83)%)*(D79),0)</f>
        <v>0</v>
      </c>
      <c r="K121" s="1031">
        <f t="array" ref="K121">ROUND((CHOOSE(MATCH(LOWER(TRIM(M121)),{"СА";"СА+ХП";"СА+МС";"СА+ЗЩ";"ХП";"ЗЩ"}, 0), J74,J74,J74,J74,J78,J79)*Q121%
+CHOOSE(MATCH(LOWER(TRIM(M121)),{"СА";"СА+ХП";"СА+МС";"СА+ЗЩ";"ХП";"ЗЩ"}, 0), 0,J78,J75,J79,0,0)*R121%+IF(L42=TRUE,L86+CHOOSE(MATCH(LOWER(TRIM(S121)),{"ЕШКА";"УЛЬТА";"ОБ. УДАРЫ";"ЗАР. УДАРЫ";"ПРЫЖКИ";"УНИК. УДАР"},0),L84,L85,L81,L82,L83,0),0))*
(1+L87%+CHOOSE(MATCH(LOWER(TRIM(N121)),{"КРИО";"ПИРО";"ЭЛЕКТРО";"ГИДРО";"АНЕМО";"ГЕО";"ДЕНДРО";"ФИЗУХА"}, 0), L76,L73,L75,L74,L78,L77,L79,L80)%+CHOOSE(MATCH(LOWER(TRIM(S121)),{"ЕШКА";"УЛЬТА";"ОБ. УДАРЫ";"ЗАР. УДАРЫ";"ПРЫЖКИ";"УНИК. УДАР"},0),J84%,J85%,J86%,J87%,J88%,0))
*(1+J76%)*(1-CHOOSE(MATCH(LOWER(TRIM(N121)),{"КРИО";"ПИРО";"ЭЛЕКТРО";"ГИДРО";"АНЕМО";"ГЕО";"ДЕНДРО";"ФИЗУХА"}, 0), C83,C80,C82,C81,E81,E82,E80,E83)%)*(D79),0)</f>
        <v>0</v>
      </c>
      <c r="L121" s="1031">
        <f t="array" ref="L121">ROUND((CHOOSE(MATCH(LOWER(TRIM(M121)),{"СА";"СА+ХП";"СА+МС";"СА+ЗЩ";"ХП";"ЗЩ"},0), J74,J74,J74,J74,J78,J79)*Q121%
+CHOOSE(MATCH(LOWER(TRIM(M121)),{"СА";"СА+ХП";"СА+МС";"СА+ЗЩ";"ХП";"ЗЩ"},0), 0,J78,J75,J79,0,0)*R121%+IF(L42=TRUE,L86+CHOOSE(MATCH(LOWER(TRIM(S121)),{"ЕШКА";"УЛЬТА";"ОБ. УДАРЫ";"ЗАР. УДАРЫ";"ПРЫЖКИ";"УНИК. УДАР"},0),L84,L85,L81,L82,L83,0),0)
+CHOOSE(MATCH(LOWER(TRIM(J42)),{"ПАР";"ОБ.ПАР";"ТАЯНИЕ";"ОБ.ТАЯНИЕ";"ОБОСТР.";"РАЗРАСТ.";"НЕТ"},0), 0,0,0,0,D102,D103,0))
*(1+L87%+CHOOSE(MATCH(LOWER(TRIM(N121)),{"КРИО";"ПИРО";"ЭЛЕКТРО";"ГИДРО";"АНЕМО";"ГЕО";"ДЕНДРО";"ФИЗУХА"},0), L76,L73,L75,L74,L78,L77,L79,L80)%+CHOOSE(MATCH(LOWER(TRIM(S121)),{"ЕШКА";"УЛЬТА";"ОБ. УДАРЫ";"ЗАР. УДАРЫ";"ПРЫЖКИ";"УНИК. УДАР"},0), J84%,J85%,J86%,J87%,J88%,0))
*(1+(J76%+CHOOSE(MATCH(LOWER(TRIM(S121)),{"ЕШКА";"УЛЬТА";"ОБ. УДАРЫ";"ЗАР. УДАРЫ";"ПРЫЖКИ";"УНИК. УДАР"},0),J91,J92,J89,J90,J93,0)%)*MIN((J77%+CHOOSE(MATCH(LOWER(TRIM(S121)),{"ЕШКА";"УЛЬТА";"ОБ. УДАРЫ";"ЗАР. УДАРЫ";"ПРЫЖКИ";"УНИК. УДАР"},0),L90,L91,L88,L89,L92,0)%),100%))*(1-CHOOSE(MATCH(LOWER(TRIM(N121)),{"КРИО";"ПИРО";"ЭЛЕКТРО";"ГИДРО";"АНЕМО";"ГЕО";"ДЕНДРО";"ФИЗУХА"},0), C83,C80,C82,C81,E81,E82,E80,E83)%)*(D79),0)</f>
        <v>0</v>
      </c>
      <c r="M121" s="629" t="s">
        <v>125</v>
      </c>
      <c r="N121" s="1021" t="s">
        <v>2181</v>
      </c>
      <c r="P121" s="627" t="str">
        <f t="shared" si="18"/>
        <v>УНИК. УДАР</v>
      </c>
      <c r="Q121" s="1032"/>
      <c r="R121" s="1033"/>
      <c r="S121" s="1024" t="s">
        <v>2157</v>
      </c>
      <c r="T121" s="1025" t="s">
        <v>2143</v>
      </c>
    </row>
    <row r="122" ht="19.5" customHeight="1">
      <c r="I122" s="627" t="str">
        <f t="shared" si="17"/>
        <v>УНИК. УДАР</v>
      </c>
      <c r="J122" s="1020">
        <f t="array" ref="J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*(1-CHOOSE(MATCH(LOWER(TRIM(N122)),{"КРИО";"ПИРО";"ЭЛЕКТРО";"ГИДРО";"АНЕМО";"ГЕО";"ДЕНДРО";"ФИЗУХА"}, 0), C83,C80,C82,C81,E81,E82,E80,E83)%)*(D79),0)</f>
        <v>0</v>
      </c>
      <c r="K122" s="1020">
        <f t="array" ref="K122">ROUND((CHOOSE(MATCH(LOWER(TRIM(M122)),{"СА";"СА+ХП";"СА+МС";"СА+ЗЩ";"ХП";"ЗЩ"}, 0), J74,J74,J74,J74,J78,J79)*Q122%
+CHOOSE(MATCH(LOWER(TRIM(M122)),{"СА";"СА+ХП";"СА+МС";"СА+ЗЩ";"ХП";"ЗЩ"}, 0), 0,J78,J75,J79,0,0)*R122%+IF(L43=TRUE,L86+CHOOSE(MATCH(LOWER(TRIM(S122)),{"ЕШКА";"УЛЬТА";"ОБ. УДАРЫ";"ЗАР. УДАРЫ";"ПРЫЖКИ";"УНИК. УДАР"},0),L84,L85,L81,L82,L83,0),0))*
(1+L87%+CHOOSE(MATCH(LOWER(TRIM(N122)),{"КРИО";"ПИРО";"ЭЛЕКТРО";"ГИДРО";"АНЕМО";"ГЕО";"ДЕНДРО";"ФИЗУХА"}, 0), L76,L73,L75,L74,L78,L77,L79,L80)%+CHOOSE(MATCH(LOWER(TRIM(S122)),{"ЕШКА";"УЛЬТА";"ОБ. УДАРЫ";"ЗАР. УДАРЫ";"ПРЫЖКИ";"УНИК. УДАР"},0),J84%,J85%,J86%,J87%,J88%,0))
*(1+J76%)*(1-CHOOSE(MATCH(LOWER(TRIM(N122)),{"КРИО";"ПИРО";"ЭЛЕКТРО";"ГИДРО";"АНЕМО";"ГЕО";"ДЕНДРО";"ФИЗУХА"}, 0), C83,C80,C82,C81,E81,E82,E80,E83)%)*(D79),0)</f>
        <v>0</v>
      </c>
      <c r="L122" s="1020">
        <f t="array" ref="L122">ROUND((CHOOSE(MATCH(LOWER(TRIM(M122)),{"СА";"СА+ХП";"СА+МС";"СА+ЗЩ";"ХП";"ЗЩ"},0), J74,J74,J74,J74,J78,J79)*Q122%
+CHOOSE(MATCH(LOWER(TRIM(M122)),{"СА";"СА+ХП";"СА+МС";"СА+ЗЩ";"ХП";"ЗЩ"},0), 0,J78,J75,J79,0,0)*R122%+IF(L43=TRUE,L86+CHOOSE(MATCH(LOWER(TRIM(S122)),{"ЕШКА";"УЛЬТА";"ОБ. УДАРЫ";"ЗАР. УДАРЫ";"ПРЫЖКИ";"УНИК. УДАР"},0),L84,L85,L81,L82,L83,0),0)
+CHOOSE(MATCH(LOWER(TRIM(J43)),{"ПАР";"ОБ.ПАР";"ТАЯНИЕ";"ОБ.ТАЯНИЕ";"ОБОСТР.";"РАЗРАСТ.";"НЕТ"},0), 0,0,0,0,D102,D103,0))
*(1+L87%+CHOOSE(MATCH(LOWER(TRIM(N122)),{"КРИО";"ПИРО";"ЭЛЕКТРО";"ГИДРО";"АНЕМО";"ГЕО";"ДЕНДРО";"ФИЗУХА"},0), L76,L73,L75,L74,L78,L77,L79,L80)%+CHOOSE(MATCH(LOWER(TRIM(S122)),{"ЕШКА";"УЛЬТА";"ОБ. УДАРЫ";"ЗАР. УДАРЫ";"ПРЫЖКИ";"УНИК. УДАР"},0), J84%,J85%,J86%,J87%,J88%,0))
*(1+(J76%+CHOOSE(MATCH(LOWER(TRIM(S122)),{"ЕШКА";"УЛЬТА";"ОБ. УДАРЫ";"ЗАР. УДАРЫ";"ПРЫЖКИ";"УНИК. УДАР"},0),J91,J92,J89,J90,J93,0)%)*MIN((J77%+CHOOSE(MATCH(LOWER(TRIM(S122)),{"ЕШКА";"УЛЬТА";"ОБ. УДАРЫ";"ЗАР. УДАРЫ";"ПРЫЖКИ";"УНИК. УДАР"},0),L90,L91,L88,L89,L92,0)%),100%))*(1-CHOOSE(MATCH(LOWER(TRIM(N122)),{"КРИО";"ПИРО";"ЭЛЕКТРО";"ГИДРО";"АНЕМО";"ГЕО";"ДЕНДРО";"ФИЗУХА"},0), C83,C80,C82,C81,E81,E82,E80,E83)%)*(D79),0)</f>
        <v>0</v>
      </c>
      <c r="M122" s="629" t="s">
        <v>125</v>
      </c>
      <c r="N122" s="1021" t="s">
        <v>2181</v>
      </c>
      <c r="P122" s="627" t="str">
        <f t="shared" si="18"/>
        <v>УНИК. УДАР</v>
      </c>
      <c r="Q122" s="1022"/>
      <c r="R122" s="1023"/>
      <c r="S122" s="1024" t="s">
        <v>2157</v>
      </c>
      <c r="T122" s="1025" t="s">
        <v>2143</v>
      </c>
    </row>
    <row r="123" ht="19.5" customHeight="1">
      <c r="I123" s="627" t="str">
        <f t="shared" si="17"/>
        <v>УНИК. УДАР</v>
      </c>
      <c r="J123" s="1031">
        <f t="array" ref="J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*(1-CHOOSE(MATCH(LOWER(TRIM(N123)),{"КРИО";"ПИРО";"ЭЛЕКТРО";"ГИДРО";"АНЕМО";"ГЕО";"ДЕНДРО";"ФИЗУХА"}, 0), C83,C80,C82,C81,E81,E82,E80,E83)%)*(D79),0)</f>
        <v>0</v>
      </c>
      <c r="K123" s="1031">
        <f t="array" ref="K123">ROUND((CHOOSE(MATCH(LOWER(TRIM(M123)),{"СА";"СА+ХП";"СА+МС";"СА+ЗЩ";"ХП";"ЗЩ"}, 0), J74,J74,J74,J74,J78,J79)*Q123%
+CHOOSE(MATCH(LOWER(TRIM(M123)),{"СА";"СА+ХП";"СА+МС";"СА+ЗЩ";"ХП";"ЗЩ"}, 0), 0,J78,J75,J79,0,0)*R123%+IF(L44=TRUE,L86+CHOOSE(MATCH(LOWER(TRIM(S123)),{"ЕШКА";"УЛЬТА";"ОБ. УДАРЫ";"ЗАР. УДАРЫ";"ПРЫЖКИ";"УНИК. УДАР"},0),L84,L85,L81,L82,L83,0),0))*
(1+L87%+CHOOSE(MATCH(LOWER(TRIM(N123)),{"КРИО";"ПИРО";"ЭЛЕКТРО";"ГИДРО";"АНЕМО";"ГЕО";"ДЕНДРО";"ФИЗУХА"}, 0), L76,L73,L75,L74,L78,L77,L79,L80)%+CHOOSE(MATCH(LOWER(TRIM(S123)),{"ЕШКА";"УЛЬТА";"ОБ. УДАРЫ";"ЗАР. УДАРЫ";"ПРЫЖКИ";"УНИК. УДАР"},0),J84%,J85%,J86%,J87%,J88%,0))
*(1+J76%)*(1-CHOOSE(MATCH(LOWER(TRIM(N123)),{"КРИО";"ПИРО";"ЭЛЕКТРО";"ГИДРО";"АНЕМО";"ГЕО";"ДЕНДРО";"ФИЗУХА"}, 0), C83,C80,C82,C81,E81,E82,E80,E83)%)*(D79),0)</f>
        <v>0</v>
      </c>
      <c r="L123" s="1031">
        <f t="array" ref="L123">ROUND((CHOOSE(MATCH(LOWER(TRIM(M123)),{"СА";"СА+ХП";"СА+МС";"СА+ЗЩ";"ХП";"ЗЩ"},0), J74,J74,J74,J74,J78,J79)*Q123%
+CHOOSE(MATCH(LOWER(TRIM(M123)),{"СА";"СА+ХП";"СА+МС";"СА+ЗЩ";"ХП";"ЗЩ"},0), 0,J78,J75,J79,0,0)*R123%+IF(L44=TRUE,L86+CHOOSE(MATCH(LOWER(TRIM(S123)),{"ЕШКА";"УЛЬТА";"ОБ. УДАРЫ";"ЗАР. УДАРЫ";"ПРЫЖКИ";"УНИК. УДАР"},0),L84,L85,L81,L82,L83,0),0)
+CHOOSE(MATCH(LOWER(TRIM(J44)),{"ПАР";"ОБ.ПАР";"ТАЯНИЕ";"ОБ.ТАЯНИЕ";"ОБОСТР.";"РАЗРАСТ.";"НЕТ"},0), 0,0,0,0,D102,D103,0))
*(1+L87%+CHOOSE(MATCH(LOWER(TRIM(N123)),{"КРИО";"ПИРО";"ЭЛЕКТРО";"ГИДРО";"АНЕМО";"ГЕО";"ДЕНДРО";"ФИЗУХА"},0), L76,L73,L75,L74,L78,L77,L79,L80)%+CHOOSE(MATCH(LOWER(TRIM(S123)),{"ЕШКА";"УЛЬТА";"ОБ. УДАРЫ";"ЗАР. УДАРЫ";"ПРЫЖКИ";"УНИК. УДАР"},0), J84%,J85%,J86%,J87%,J88%,0))
*(1+(J76%+CHOOSE(MATCH(LOWER(TRIM(S123)),{"ЕШКА";"УЛЬТА";"ОБ. УДАРЫ";"ЗАР. УДАРЫ";"ПРЫЖКИ";"УНИК. УДАР"},0),J91,J92,J89,J90,J93,0)%)*MIN((J77%+CHOOSE(MATCH(LOWER(TRIM(S123)),{"ЕШКА";"УЛЬТА";"ОБ. УДАРЫ";"ЗАР. УДАРЫ";"ПРЫЖКИ";"УНИК. УДАР"},0),L90,L91,L88,L89,L92,0)%),100%))*(1-CHOOSE(MATCH(LOWER(TRIM(N123)),{"КРИО";"ПИРО";"ЭЛЕКТРО";"ГИДРО";"АНЕМО";"ГЕО";"ДЕНДРО";"ФИЗУХА"},0), C83,C80,C82,C81,E81,E82,E80,E83)%)*(D79),0)</f>
        <v>0</v>
      </c>
      <c r="M123" s="629" t="s">
        <v>125</v>
      </c>
      <c r="N123" s="1021" t="s">
        <v>2181</v>
      </c>
      <c r="P123" s="627" t="str">
        <f t="shared" si="18"/>
        <v>УНИК. УДАР</v>
      </c>
      <c r="Q123" s="1032"/>
      <c r="R123" s="1033"/>
      <c r="S123" s="1024" t="s">
        <v>2157</v>
      </c>
      <c r="T123" s="1025" t="s">
        <v>2143</v>
      </c>
    </row>
    <row r="124" ht="19.5" customHeight="1">
      <c r="I124" s="627" t="str">
        <f t="shared" si="17"/>
        <v>УНИК. УДАР</v>
      </c>
      <c r="J124" s="1020">
        <f t="array" ref="J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
(1+L87%+CHOOSE(MATCH(LOWER(TRIM(N124)),{"КРИО";"ПИРО";"ЭЛЕКТРО";"ГИДРО";"АНЕМО";"ГЕО";"ДЕНДРО";"ФИЗУХА"}, 0), L76,L73,L75,L74,L78,L77,L79,L80)%+CHOOSE(MATCH(LOWER(TRIM(S124)),{"ЕШКА";"УЛЬТА";"ОБ. УДАРЫ";"ЗАР. УДАРЫ";"ПРЫЖКИ";"УНИК. УДАР"},0),J84%,J85%,J86%,J87%,J88%,0))
*(1-CHOOSE(MATCH(LOWER(TRIM(N124)),{"КРИО";"ПИРО";"ЭЛЕКТРО";"ГИДРО";"АНЕМО";"ГЕО";"ДЕНДРО";"ФИЗУХА"}, 0), C83,C80,C82,C81,E81,E82,E80,E83)%)*(D79),0)</f>
        <v>0</v>
      </c>
      <c r="K124" s="1020">
        <f t="array" ref="K124">ROUND((CHOOSE(MATCH(LOWER(TRIM(M124)),{"СА";"СА+ХП";"СА+МС";"СА+ЗЩ";"ХП";"ЗЩ"}, 0), J74,J74,J74,J74,J78,J79)*Q124%
+CHOOSE(MATCH(LOWER(TRIM(M124)),{"СА";"СА+ХП";"СА+МС";"СА+ЗЩ";"ХП";"ЗЩ"}, 0), 0,J78,J75,J79,0,0)*R124%+IF(L45=TRUE,L86+CHOOSE(MATCH(LOWER(TRIM(S124)),{"ЕШКА";"УЛЬТА";"ОБ. УДАРЫ";"ЗАР. УДАРЫ";"ПРЫЖКИ";"УНИК. УДАР"},0),L84,L85,L81,L82,L83,0),0))*
(1+L87%+CHOOSE(MATCH(LOWER(TRIM(N124)),{"КРИО";"ПИРО";"ЭЛЕКТРО";"ГИДРО";"АНЕМО";"ГЕО";"ДЕНДРО";"ФИЗУХА"}, 0), L76,L73,L75,L74,L78,L77,L79,L80)%+CHOOSE(MATCH(LOWER(TRIM(S124)),{"ЕШКА";"УЛЬТА";"ОБ. УДАРЫ";"ЗАР. УДАРЫ";"ПРЫЖКИ";"УНИК. УДАР"},0),J84%,J85%,J86%,J87%,J88%,0))
*(1+J76%)*(1-CHOOSE(MATCH(LOWER(TRIM(N124)),{"КРИО";"ПИРО";"ЭЛЕКТРО";"ГИДРО";"АНЕМО";"ГЕО";"ДЕНДРО";"ФИЗУХА"}, 0), C83,C80,C82,C81,E81,E82,E80,E83)%)*(D79),0)</f>
        <v>0</v>
      </c>
      <c r="L124" s="1020">
        <f t="array" ref="L124">ROUND((CHOOSE(MATCH(LOWER(TRIM(M124)),{"СА";"СА+ХП";"СА+МС";"СА+ЗЩ";"ХП";"ЗЩ"},0), J74,J74,J74,J74,J78,J79)*Q124%
+CHOOSE(MATCH(LOWER(TRIM(M124)),{"СА";"СА+ХП";"СА+МС";"СА+ЗЩ";"ХП";"ЗЩ"},0), 0,J78,J75,J79,0,0)*R124%+IF(L45=TRUE,L86+CHOOSE(MATCH(LOWER(TRIM(S124)),{"ЕШКА";"УЛЬТА";"ОБ. УДАРЫ";"ЗАР. УДАРЫ";"ПРЫЖКИ";"УНИК. УДАР"},0),L84,L85,L81,L82,L83,0),0)
+CHOOSE(MATCH(LOWER(TRIM(J45)),{"ПАР";"ОБ.ПАР";"ТАЯНИЕ";"ОБ.ТАЯНИЕ";"ОБОСТР.";"РАЗРАСТ.";"НЕТ"},0), 0,0,0,0,D102,D103,0))
*(1+L87%+CHOOSE(MATCH(LOWER(TRIM(N124)),{"КРИО";"ПИРО";"ЭЛЕКТРО";"ГИДРО";"АНЕМО";"ГЕО";"ДЕНДРО";"ФИЗУХА"},0), L76,L73,L75,L74,L78,L77,L79,L80)%+CHOOSE(MATCH(LOWER(TRIM(S124)),{"ЕШКА";"УЛЬТА";"ОБ. УДАРЫ";"ЗАР. УДАРЫ";"ПРЫЖКИ";"УНИК. УДАР"},0), J84%,J85%,J86%,J87%,J88%,0))
*(1+(J76%+CHOOSE(MATCH(LOWER(TRIM(S124)),{"ЕШКА";"УЛЬТА";"ОБ. УДАРЫ";"ЗАР. УДАРЫ";"ПРЫЖКИ";"УНИК. УДАР"},0),J91,J92,J89,J90,J93,0)%)*MIN((J77%+CHOOSE(MATCH(LOWER(TRIM(S124)),{"ЕШКА";"УЛЬТА";"ОБ. УДАРЫ";"ЗАР. УДАРЫ";"ПРЫЖКИ";"УНИК. УДАР"},0),L90,L91,L88,L89,L92,0)%),100%))*(1-CHOOSE(MATCH(LOWER(TRIM(N124)),{"КРИО";"ПИРО";"ЭЛЕКТРО";"ГИДРО";"АНЕМО";"ГЕО";"ДЕНДРО";"ФИЗУХА"},0), C83,C80,C82,C81,E81,E82,E80,E83)%)*(D79),0)</f>
        <v>0</v>
      </c>
      <c r="M124" s="629" t="s">
        <v>125</v>
      </c>
      <c r="N124" s="1021" t="s">
        <v>2181</v>
      </c>
      <c r="P124" s="627" t="str">
        <f t="shared" si="18"/>
        <v>УНИК. УДАР</v>
      </c>
      <c r="Q124" s="1022"/>
      <c r="R124" s="1023"/>
      <c r="S124" s="1053" t="s">
        <v>2157</v>
      </c>
      <c r="T124" s="1054" t="s">
        <v>2143</v>
      </c>
    </row>
    <row r="125" ht="19.5" customHeight="1">
      <c r="I125" s="627" t="str">
        <f t="shared" ref="I125:I128" si="19">P125</f>
        <v>ПРОЧЕЕ</v>
      </c>
      <c r="J125" s="628">
        <f t="array" ref="J125">ROUND((Q125+(CHOOSE(MATCH(LOWER(TRIM(M125)),{"СА";"ХП";"ЗЩ";"МС"}, 0), J74,J78,J79,J75)%*R125))*(1-CHOOSE(MATCH(LOWER(TRIM(N125)),{"КРИО";"ПИРО";"ЭЛЕКТРО";"ГИДРО";"АНЕМО";"ГЕО";"ДЕНДРО";"ФИЗУХА"}, 0), C83,C80,C82,C81,E81,E82,E80,E83)%),0)</f>
        <v>0</v>
      </c>
      <c r="K125" s="630" t="s">
        <v>14</v>
      </c>
      <c r="L125" s="630" t="s">
        <v>14</v>
      </c>
      <c r="M125" s="629" t="s">
        <v>125</v>
      </c>
      <c r="N125" s="1055" t="s">
        <v>2170</v>
      </c>
      <c r="P125" s="627" t="s">
        <v>1912</v>
      </c>
      <c r="Q125" s="1027"/>
      <c r="R125" s="1055"/>
      <c r="S125" s="472"/>
      <c r="T125" s="472"/>
    </row>
    <row r="126" ht="19.5" customHeight="1">
      <c r="I126" s="615" t="str">
        <f t="shared" si="19"/>
        <v>ЛЕЧЕНИЕ</v>
      </c>
      <c r="J126" s="1056">
        <f t="array" ref="J126">ROUND((R126+(CHOOSE(MATCH(LOWER(TRIM(M126)),{"СА";"ХП";"ЗЩ";"МС"}, 0), J74,J78,J79,J75)*Q126%))*(1+J81%+J82%),0)</f>
        <v>0</v>
      </c>
      <c r="K126" s="1057">
        <v>1.0</v>
      </c>
      <c r="L126" s="1057">
        <f>J126*K126</f>
        <v>0</v>
      </c>
      <c r="M126" s="1058" t="s">
        <v>165</v>
      </c>
      <c r="N126" s="1059" t="s">
        <v>1918</v>
      </c>
      <c r="P126" s="615" t="s">
        <v>1919</v>
      </c>
      <c r="Q126" s="1060"/>
      <c r="R126" s="1061"/>
      <c r="S126" s="471" t="s">
        <v>1919</v>
      </c>
      <c r="T126" s="1062" t="s">
        <v>2143</v>
      </c>
    </row>
    <row r="127" ht="19.5" customHeight="1">
      <c r="I127" s="627" t="str">
        <f t="shared" si="19"/>
        <v>ЛЕЧЕНИЕ</v>
      </c>
      <c r="J127" s="1036">
        <f t="array" ref="J127">ROUND((R127+(CHOOSE(MATCH(LOWER(TRIM(M127)),{"СА";"ХП";"ЗЩ";"МС"}, 0), J74,J78,J79,J75)*Q127%))*(1+J81%+J82%),0)</f>
        <v>0</v>
      </c>
      <c r="K127" s="630">
        <v>1.0</v>
      </c>
      <c r="L127" s="630">
        <f t="shared" ref="L127:L128" si="20">K127*J127</f>
        <v>0</v>
      </c>
      <c r="M127" s="629" t="s">
        <v>1330</v>
      </c>
      <c r="N127" s="1063" t="s">
        <v>1918</v>
      </c>
      <c r="P127" s="627" t="s">
        <v>1919</v>
      </c>
      <c r="Q127" s="1022"/>
      <c r="R127" s="1023"/>
      <c r="S127" s="1064"/>
      <c r="T127" s="1065" t="s">
        <v>2143</v>
      </c>
    </row>
    <row r="128" ht="19.5" customHeight="1">
      <c r="I128" s="750" t="str">
        <f t="shared" si="19"/>
        <v>ЩИТ</v>
      </c>
      <c r="J128" s="1066">
        <f t="array" ref="J128">ROUND((R128+(CHOOSE(MATCH(LOWER(TRIM(M128)),{"СА";"ХП";"ЗЩ";"МС"}, 0), J74,J78,J79,J75)*Q128%))*(1+J83%),0)</f>
        <v>0</v>
      </c>
      <c r="K128" s="1067">
        <v>1.0</v>
      </c>
      <c r="L128" s="1067">
        <f t="shared" si="20"/>
        <v>0</v>
      </c>
      <c r="M128" s="1068" t="s">
        <v>165</v>
      </c>
      <c r="N128" s="1069" t="s">
        <v>1877</v>
      </c>
      <c r="P128" s="750" t="s">
        <v>1932</v>
      </c>
      <c r="Q128" s="1070"/>
      <c r="R128" s="1071"/>
      <c r="S128" s="471" t="s">
        <v>1932</v>
      </c>
      <c r="T128" s="1072" t="s">
        <v>2143</v>
      </c>
    </row>
    <row r="129" ht="19.5" customHeight="1">
      <c r="I129" s="472"/>
      <c r="J129" s="1073" t="s">
        <v>2171</v>
      </c>
      <c r="K129" s="1074" t="s">
        <v>1927</v>
      </c>
      <c r="L129" s="1075" t="s">
        <v>2172</v>
      </c>
      <c r="M129" s="472"/>
      <c r="N129" s="472"/>
      <c r="P129" s="1076" t="s">
        <v>2173</v>
      </c>
      <c r="Q129" s="1077" t="s">
        <v>2137</v>
      </c>
      <c r="R129" s="1078" t="s">
        <v>2174</v>
      </c>
      <c r="S129" s="472"/>
      <c r="T129" s="472"/>
    </row>
    <row r="130" ht="19.5" customHeight="1">
      <c r="B130" s="473"/>
    </row>
  </sheetData>
  <mergeCells count="142">
    <mergeCell ref="Q2:Q3"/>
    <mergeCell ref="K3:O4"/>
    <mergeCell ref="A2:A3"/>
    <mergeCell ref="B4:C11"/>
    <mergeCell ref="D4:E5"/>
    <mergeCell ref="F4:F7"/>
    <mergeCell ref="D6:E7"/>
    <mergeCell ref="Q4:R5"/>
    <mergeCell ref="S4:S5"/>
    <mergeCell ref="H2:H3"/>
    <mergeCell ref="K5:L6"/>
    <mergeCell ref="M5:M6"/>
    <mergeCell ref="N5:O6"/>
    <mergeCell ref="D8:E9"/>
    <mergeCell ref="F8:F11"/>
    <mergeCell ref="S10:T10"/>
    <mergeCell ref="S11:S12"/>
    <mergeCell ref="B2:E3"/>
    <mergeCell ref="B12:D12"/>
    <mergeCell ref="T11:T13"/>
    <mergeCell ref="S13:S14"/>
    <mergeCell ref="L13:M13"/>
    <mergeCell ref="L14:M14"/>
    <mergeCell ref="I7:K15"/>
    <mergeCell ref="L7:M7"/>
    <mergeCell ref="L8:M8"/>
    <mergeCell ref="L9:M9"/>
    <mergeCell ref="L10:M10"/>
    <mergeCell ref="L11:M11"/>
    <mergeCell ref="L12:M12"/>
    <mergeCell ref="T14:T16"/>
    <mergeCell ref="L15:M15"/>
    <mergeCell ref="S15:S16"/>
    <mergeCell ref="N16:O16"/>
    <mergeCell ref="B21:E22"/>
    <mergeCell ref="B23:C24"/>
    <mergeCell ref="D23:E24"/>
    <mergeCell ref="B25:C25"/>
    <mergeCell ref="D25:E25"/>
    <mergeCell ref="B27:E27"/>
    <mergeCell ref="O27:Q28"/>
    <mergeCell ref="R27:T28"/>
    <mergeCell ref="S34:T34"/>
    <mergeCell ref="S35:S36"/>
    <mergeCell ref="T35:T36"/>
    <mergeCell ref="B37:D38"/>
    <mergeCell ref="E37:F38"/>
    <mergeCell ref="T37:T39"/>
    <mergeCell ref="S38:S39"/>
    <mergeCell ref="B39:C40"/>
    <mergeCell ref="D39:D40"/>
    <mergeCell ref="H16:M17"/>
    <mergeCell ref="B18:B19"/>
    <mergeCell ref="C18:C19"/>
    <mergeCell ref="D18:D19"/>
    <mergeCell ref="E39:E40"/>
    <mergeCell ref="F39:F40"/>
    <mergeCell ref="S40:T41"/>
    <mergeCell ref="B41:C42"/>
    <mergeCell ref="D41:D42"/>
    <mergeCell ref="E41:E42"/>
    <mergeCell ref="F41:F42"/>
    <mergeCell ref="B43:C44"/>
    <mergeCell ref="D43:D44"/>
    <mergeCell ref="E43:E44"/>
    <mergeCell ref="F43:F44"/>
    <mergeCell ref="S46:T47"/>
    <mergeCell ref="E47:E48"/>
    <mergeCell ref="F47:F48"/>
    <mergeCell ref="I48:M49"/>
    <mergeCell ref="O48:O49"/>
    <mergeCell ref="P48:P49"/>
    <mergeCell ref="E49:E50"/>
    <mergeCell ref="F49:F50"/>
    <mergeCell ref="S49:T50"/>
    <mergeCell ref="O50:R51"/>
    <mergeCell ref="S52:S53"/>
    <mergeCell ref="T52:T53"/>
    <mergeCell ref="S54:S55"/>
    <mergeCell ref="T54:T55"/>
    <mergeCell ref="B56:E57"/>
    <mergeCell ref="S56:S57"/>
    <mergeCell ref="O57:P57"/>
    <mergeCell ref="Q57:R57"/>
    <mergeCell ref="T56:T57"/>
    <mergeCell ref="O58:Q59"/>
    <mergeCell ref="R58:R59"/>
    <mergeCell ref="S58:S59"/>
    <mergeCell ref="T58:T59"/>
    <mergeCell ref="I66:M66"/>
    <mergeCell ref="O70:T71"/>
    <mergeCell ref="S43:T44"/>
    <mergeCell ref="B45:C46"/>
    <mergeCell ref="D45:D46"/>
    <mergeCell ref="E45:E46"/>
    <mergeCell ref="F45:F46"/>
    <mergeCell ref="I71:N72"/>
    <mergeCell ref="Q74:Q75"/>
    <mergeCell ref="B75:E76"/>
    <mergeCell ref="Q76:Q77"/>
    <mergeCell ref="Q78:Q79"/>
    <mergeCell ref="B79:C79"/>
    <mergeCell ref="D79:E79"/>
    <mergeCell ref="Q80:Q81"/>
    <mergeCell ref="B84:E84"/>
    <mergeCell ref="B89:D89"/>
    <mergeCell ref="B94:T94"/>
    <mergeCell ref="B95:H96"/>
    <mergeCell ref="I95:N96"/>
    <mergeCell ref="O95:O129"/>
    <mergeCell ref="P95:T96"/>
    <mergeCell ref="B111:C111"/>
    <mergeCell ref="B112:C112"/>
    <mergeCell ref="B113:C113"/>
    <mergeCell ref="B114:C114"/>
    <mergeCell ref="B115:C115"/>
    <mergeCell ref="B116:C116"/>
    <mergeCell ref="B117:C117"/>
    <mergeCell ref="B118:C118"/>
    <mergeCell ref="B119:H129"/>
    <mergeCell ref="B130:T130"/>
    <mergeCell ref="B1:T1"/>
    <mergeCell ref="U1:U130"/>
    <mergeCell ref="F2:G3"/>
    <mergeCell ref="R2:T3"/>
    <mergeCell ref="A4:A130"/>
    <mergeCell ref="T4:T6"/>
    <mergeCell ref="F12:F15"/>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s>
  <dataValidations>
    <dataValidation type="list" allowBlank="1" sqref="G8 G12">
      <formula1>"АЛЬБЕДО,ТИОРИ,ШИЛОНЕН,ЦЗИ БАЙ,ГЕО ГГ"</formula1>
    </dataValidation>
    <dataValidation type="list" allowBlank="1" showErrorMessage="1" sqref="N98:N125 N128">
      <formula1>"КРИО,ПИРО,ЭЛЕКТРО,ГИДРО,АНЕМО,ГЕО,ДЕНДРО,ФИЗУХА"</formula1>
    </dataValidation>
    <dataValidation type="list" allowBlank="1" showErrorMessage="1" sqref="G5 D6 G9 G13">
      <formula1>"АНЕМО,ГЕО,ПИРО,ГИДРО,ЭЛЕКТРО,КРИО,ДЕНДРО,ФИЗУХА"</formula1>
    </dataValidation>
    <dataValidation type="list" allowBlank="1" sqref="G4">
      <formula1>"ЧЖУН ЛИ,КАЧИНА,ЮНЬ ЦЗИНЬ,ИЛЛУГИ"</formula1>
    </dataValidation>
    <dataValidation type="list" allowBlank="1" showErrorMessage="1" sqref="R27">
      <formula1>"СЕРЕНАДА ЛУНЫ,НОЧЬ НЕБА,КЛЯТВА НОЧИ,ФИНАЛ ГЛУБИН,СВИТОК ГЕРОЯ,ОБСИД. ФОЛИАНТ,ФРАГМЕНТ,ГРЁЗЫ,ШЁПОТ В ЛЕСУ,ПЕСНЬ ВРЕМЁН,ЗОЛОТАЯ ТРУППА,ОХОТНИК СУМРАЧ.,ВУРУКАШ,СОН НИМФЫ,ЦВЕТОК РАЯ,ХРОНИКИ ПУСТ.,ПОЗОЛОЧ. СНЫ,ДРЕМУЧИЙ ЛЕС,ПОДНОШЕНИЕ,КИНОВАРА,МОЛЛЮСК,КОКОН,ЭМБ"&amp;"ЛЕМА,СИМЭНАВА,БЛЕДНЫЙ ОГОНЬ,МИЛЛЕЛИТ,СЕРДЦЕ ГЛУБИН,МЕТЕЛЬ,АРХАИЧНЫЙ,КОМЕТА,ЦЕРЕМОНИЯ,РЫЦАРЬ КРОВИ,АЛАЯ ВЕДЬМА,СТУП. ПО ЛАВЕ,РЁВ ЯРОСТИ,ГРОМ,ТЕНЬ,ДЕВА,ГЛАДИАТОР,АНСАМБЛЬ"</formula1>
    </dataValidation>
    <dataValidation type="list" allowBlank="1" showErrorMessage="1" sqref="B115">
      <formula1>"РАССЕИВАНИЕ 2,РАССЕИВ. + С6"</formula1>
    </dataValidation>
    <dataValidation type="list" allowBlank="1" showErrorMessage="1" sqref="B105">
      <formula1>"БУТОН,БУТОН+С2(НАХ),БУТОН+А1(ЛАУ),БУТОН+С2+А1"</formula1>
    </dataValidation>
    <dataValidation type="list" allowBlank="1" showErrorMessage="1" sqref="R82">
      <formula1>"ШАБАШ,НЕ ШАБАШ,НЕ АКТИВ"</formula1>
    </dataValidation>
    <dataValidation type="list" allowBlank="1" showErrorMessage="1" sqref="S98:S124">
      <formula1>"ЕШКА,УЛЬТА,ОБ. УДАРЫ,ЗАР. УДАРЫ,ПРЫЖКИ,УНИК. УДАР"</formula1>
    </dataValidation>
    <dataValidation type="list" allowBlank="1" showErrorMessage="1" sqref="N126:N127">
      <formula1>"КРИО,ПИРО,ЭЛЕКТРО,ГИДРО,АНЕМО,ГЕО,ДЕНДРО,ФИЗУХА,НЕТ"</formula1>
    </dataValidation>
    <dataValidation type="list" allowBlank="1" showErrorMessage="1" sqref="M125:M128">
      <formula1>"СА,ХП,ЗЩ,МС"</formula1>
    </dataValidation>
    <dataValidation type="list" allowBlank="1" showErrorMessage="1" sqref="R6">
      <formula1>"КУ%,ШК%,СА%,ХП%,ЗЩ%,ВЭ%,МС,ФИЗ%"</formula1>
    </dataValidation>
    <dataValidation type="list" allowBlank="1" showErrorMessage="1" sqref="T126:T128">
      <formula1>"10 ЛВЛ,13 ЛВЛ"</formula1>
    </dataValidation>
    <dataValidation type="list" allowBlank="1" showErrorMessage="1" sqref="G6 D8 G10 G14">
      <formula1>"ДВУРУК,ОДНОРУК,СТРЕЛОК,КАТАЛИК,КОПЕЙЩИК"</formula1>
    </dataValidation>
    <dataValidation type="list" allowBlank="1" showErrorMessage="1" sqref="S43">
      <formula1>"СА%,ХП%,ЗЩ%,МС,ВЭ%,НЕТ"</formula1>
    </dataValidation>
    <dataValidation type="list" allowBlank="1" showErrorMessage="1" sqref="C18">
      <formula1>"ПИРО ПЕРС,КРИО ПЕРС,ЭЛЕК. ПЕРС,ГИДРО ПЕРС,АНЕМО ПЕРС,ДЕНД. ПЕРС,ГЕО ПЕРС"</formula1>
    </dataValidation>
    <dataValidation type="list" allowBlank="1" showErrorMessage="1" sqref="M98:M124">
      <formula1>"СА,СА+ХП,СА+МС,СА+ЗЩ,ХП,ЗЩ"</formula1>
    </dataValidation>
    <dataValidation type="list" allowBlank="1" showErrorMessage="1" sqref="T98:T124">
      <formula1>"1 ЛВЛ,6 ЛВЛ,9 ЛВЛ,10 ЛВЛ,11 ЛВЛ,12 ЛВЛ,13 ЛВЛ,14 ЛВЛ"</formula1>
    </dataValidation>
    <dataValidation type="list" allowBlank="1" showErrorMessage="1" sqref="D17">
      <formula1>"20 МС,30 МС,50 МС,НЕТ"</formula1>
    </dataValidation>
    <dataValidation type="list" allowBlank="1" showErrorMessage="1" sqref="S49">
      <formula1>"КУ%,ШК%,СА%,ХП%,ЗЩ%,МС,БОНУС ЛЕЧЕНИЕ,НЕТ"</formula1>
    </dataValidation>
    <dataValidation type="list" allowBlank="1" showErrorMessage="1" sqref="T74">
      <formula1>"НАТЛАН,НЕ НАТЛАН,НЕ АКТИВ"</formula1>
    </dataValidation>
    <dataValidation type="list" allowBlank="1" showErrorMessage="1" sqref="H114:H115">
      <formula1>"🔥ПИРО,💧ГИДРО,⚡️ЭЛЕКТРО,❄️КРИО"</formula1>
    </dataValidation>
    <dataValidation type="list" allowBlank="1" showErrorMessage="1" sqref="S38">
      <formula1>"ПИРО,ГИДРО,ЭЛЕКТРО,КРИО,ГЕО,АНЕМО,ДЕНДРО,НЕТ"</formula1>
    </dataValidation>
    <dataValidation type="list" allowBlank="1" showErrorMessage="1" sqref="S46">
      <formula1>"АФ.КРИО%,АФ.ПИРО%,АФ.ГИДРО%,АФ.ЭЛЕКТРО%,АФ.ГЕО%,АФ.АНЕМО%,АФ.ДЕНДРО%,АФ.ФИЗ.%,СА%,ХП%,ЗЩ%,МС,НЕТ"</formula1>
    </dataValidation>
    <dataValidation type="list" allowBlank="1" sqref="R2">
      <formula1>"НЕБЕСНЫЙ АТЛАС,МОЛИТВА ВЕТРАМ,ПАМЯТЬ О ПЫЛИ,ВЕЛИКОЛЕПИЕ СВОДА,ВЕЧНОЕ СИЯНИЕ,КАГУРА,СНОВИДЕНИЯ,ВОСПОМИНАНИЯ,НАДЗОР,ОБРЯД ТЕЧЕНИЯ,КЛИЧ ЖУРАВЛЯ,ЛОВИ ВОЛНУ,БДЕНИЕ ЗВЁЗД,СОН УТРОМ,ЧАЯНИЯ,ЗЕРКАЛО НОЧИ,ШКАТУЛКА ИСТИН,ФАВОНИЙ КАТАЛ,ПЕСНЬ СТРАННИКА,ЦЕРЕМОН. КАТАЛ,"&amp;"КОРОЛЕВ. КАТАЛ,ЖЕМЧУЖИНА,ПРОТ. ЯНТАРЬ,МОРСКОЙ АТЛАС,ЧЕРНОГОР КАТАЛ,ОКО СОЗНАНИЯ,ВИНО И ПЕСНИ,ПЛОД МЕРЗЛОТЫ,ИСТОРИИ ДОДОКО,КОЛЬЦО ХАКУСИН,ОКО КЛЯТВЫ,СКИТ. ЗВЕЗДА,ПЛОД ВОСПОЛНЕНИЯ,ЖЕРТВ. НЕФРИТ,СВЕРКАНИЕ ВОД,ПЕСНЬ ЛАЗУРИ,ПЕПЕЛЬНЫЙ РОГ,ВИХРЬ,КОЛЬЦО ЯШЧЕ,ЛЮТН"&amp;"Я,ФОНАРЬ ЧЕРНЫЙ,РАССВЕТ. ИНЕЙ,ЭПОС ДРАКОНА"</formula1>
    </dataValidation>
    <dataValidation type="list" allowBlank="1" sqref="T80 T82">
      <formula1>"2 НОДА,1 НОД,НЕ АКТИВ"</formula1>
    </dataValidation>
    <dataValidation type="list" allowBlank="1" showErrorMessage="1" sqref="B106">
      <formula1>"ВЕГЕТАЦИЯ,ВЕГЕТАЦИЯ+С2,ВЕГЕТАЦИЯ+А1,ВЕГЕТ.+С2+А1"</formula1>
    </dataValidation>
    <dataValidation type="list" allowBlank="1" showErrorMessage="1" sqref="B107">
      <formula1>"ЦВЕТЕНИЕ,ЦВЕТЕНИЕ+С2,ЦВЕТЕНИЕ+А1,ЦВЕТ.+С2+А1"</formula1>
    </dataValidation>
    <dataValidation type="list" allowBlank="1" showErrorMessage="1" sqref="J19:J46">
      <formula1>"ПАР,ОБ.ПАР,ТАЯНИЕ,ОБ.ТАЯНИЕ,РАЗРАСТ.,ОБОСТР.,НЕТ"</formula1>
    </dataValidation>
    <dataValidation type="list" allowBlank="1" sqref="D4">
      <formula1>"БАРБАРА,МОНА,КОКОМИ,МУАЛАНИ,НЁВИЛЛЕТ,КОЛОМБИНА"</formula1>
    </dataValidation>
    <dataValidation type="list" allowBlank="1" showErrorMessage="1" sqref="T4">
      <formula1>"РП1,РП2,РП3,РП4,РП5"</formula1>
    </dataValidation>
    <dataValidation type="list" allowBlank="1" showErrorMessage="1" sqref="B114">
      <formula1>"РАССЕИВАНИЕ 1,РАССЕИВ. + С6"</formula1>
    </dataValidation>
    <dataValidation type="list" allowBlank="1" showErrorMessage="1" sqref="S35">
      <formula1>"НЕТ,1,2,3,4,5"</formula1>
    </dataValidation>
    <dataValidation type="list" allowBlank="1" showErrorMessage="1" sqref="S11 S13 S15">
      <formula1>"НЕТ,1,2,3,4,5,6"</formula1>
    </dataValidation>
    <dataValidation type="list" allowBlank="1" showErrorMessage="1" sqref="B23">
      <formula1>"УРОВЕНЬ 100,УРОВЕНЬ 95,УРОВЕНЬ 90,УРОВЕНЬ 80"</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B7B7"/>
    <outlinePr summaryBelow="0" summaryRight="0"/>
  </sheetPr>
  <sheetViews>
    <sheetView workbookViewId="0"/>
  </sheetViews>
  <sheetFormatPr customHeight="1" defaultColWidth="12.63" defaultRowHeight="15.75"/>
  <cols>
    <col customWidth="1" min="1" max="1" width="5.0"/>
    <col customWidth="1" min="2" max="8" width="14.88"/>
    <col customWidth="1" min="9" max="9" width="13.88"/>
    <col customWidth="1" min="10" max="16" width="14.88"/>
    <col customWidth="1" min="17" max="17" width="5.0"/>
  </cols>
  <sheetData>
    <row r="1">
      <c r="A1" s="1095"/>
    </row>
    <row r="2" ht="36.0" customHeight="1">
      <c r="A2" s="1095"/>
      <c r="B2" s="1096" t="s">
        <v>2308</v>
      </c>
      <c r="C2" s="1097"/>
      <c r="D2" s="1097"/>
      <c r="E2" s="1097"/>
      <c r="F2" s="1097"/>
      <c r="G2" s="1097"/>
      <c r="H2" s="1098"/>
      <c r="I2" s="1095"/>
      <c r="J2" s="1096" t="s">
        <v>2309</v>
      </c>
      <c r="K2" s="1097"/>
      <c r="L2" s="1097"/>
      <c r="M2" s="1097"/>
      <c r="N2" s="1097"/>
      <c r="O2" s="1097"/>
      <c r="P2" s="1098"/>
      <c r="Q2" s="1095"/>
    </row>
    <row r="3" ht="24.0" customHeight="1">
      <c r="B3" s="1099" t="s">
        <v>1904</v>
      </c>
      <c r="C3" s="1100" t="s">
        <v>1908</v>
      </c>
      <c r="D3" s="1101" t="s">
        <v>2109</v>
      </c>
      <c r="E3" s="1102" t="s">
        <v>2114</v>
      </c>
      <c r="F3" s="1103" t="s">
        <v>1917</v>
      </c>
      <c r="G3" s="1104" t="s">
        <v>1911</v>
      </c>
      <c r="H3" s="1105" t="s">
        <v>1914</v>
      </c>
      <c r="J3" s="1099" t="s">
        <v>1904</v>
      </c>
      <c r="K3" s="1100" t="s">
        <v>1908</v>
      </c>
      <c r="L3" s="1101" t="s">
        <v>2109</v>
      </c>
      <c r="M3" s="1102" t="s">
        <v>2114</v>
      </c>
      <c r="N3" s="1103" t="s">
        <v>1917</v>
      </c>
      <c r="O3" s="1104" t="s">
        <v>1911</v>
      </c>
      <c r="P3" s="1105" t="s">
        <v>1914</v>
      </c>
    </row>
    <row r="4" ht="24.75" customHeight="1">
      <c r="B4" s="1106" t="s">
        <v>320</v>
      </c>
      <c r="C4" s="1107" t="s">
        <v>182</v>
      </c>
      <c r="D4" s="1108" t="s">
        <v>154</v>
      </c>
      <c r="E4" s="1109" t="s">
        <v>375</v>
      </c>
      <c r="F4" s="1110" t="s">
        <v>248</v>
      </c>
      <c r="G4" s="1111"/>
      <c r="H4" s="1112" t="s">
        <v>157</v>
      </c>
      <c r="J4" s="1113" t="s">
        <v>2310</v>
      </c>
      <c r="K4" s="1107" t="s">
        <v>2311</v>
      </c>
      <c r="L4" s="1108" t="s">
        <v>2312</v>
      </c>
      <c r="M4" s="1109" t="s">
        <v>2313</v>
      </c>
      <c r="N4" s="1110" t="s">
        <v>2314</v>
      </c>
      <c r="O4" s="1111"/>
      <c r="P4" s="1112" t="s">
        <v>2315</v>
      </c>
    </row>
    <row r="5" ht="24.75" customHeight="1">
      <c r="B5" s="1106" t="s">
        <v>2316</v>
      </c>
      <c r="C5" s="1114" t="s">
        <v>2317</v>
      </c>
      <c r="D5" s="1115"/>
      <c r="E5" s="1116" t="s">
        <v>364</v>
      </c>
      <c r="F5" s="1117" t="s">
        <v>243</v>
      </c>
      <c r="G5" s="1118"/>
      <c r="H5" s="1119"/>
      <c r="J5" s="1120"/>
      <c r="K5" s="1121"/>
      <c r="L5" s="1122"/>
      <c r="M5" s="1116" t="s">
        <v>2318</v>
      </c>
      <c r="N5" s="1117" t="s">
        <v>2319</v>
      </c>
      <c r="O5" s="1118"/>
      <c r="P5" s="1123" t="s">
        <v>2320</v>
      </c>
    </row>
    <row r="6" ht="24.75" customHeight="1">
      <c r="B6" s="1106" t="s">
        <v>2321</v>
      </c>
      <c r="C6" s="1121"/>
      <c r="D6" s="1122"/>
      <c r="E6" s="1124"/>
      <c r="F6" s="1117" t="s">
        <v>2322</v>
      </c>
      <c r="G6" s="1118"/>
      <c r="H6" s="1125"/>
      <c r="J6" s="1120"/>
      <c r="K6" s="1121"/>
      <c r="L6" s="1122"/>
      <c r="M6" s="1126"/>
      <c r="N6" s="1127"/>
      <c r="O6" s="1118"/>
      <c r="P6" s="1119"/>
    </row>
    <row r="7" ht="24.75" customHeight="1">
      <c r="B7" s="1128"/>
      <c r="C7" s="1121"/>
      <c r="D7" s="1122"/>
      <c r="E7" s="1126"/>
      <c r="F7" s="1117" t="s">
        <v>2323</v>
      </c>
      <c r="G7" s="1129"/>
      <c r="H7" s="1119"/>
      <c r="J7" s="1120"/>
      <c r="K7" s="1121"/>
      <c r="L7" s="1122"/>
      <c r="M7" s="1126"/>
      <c r="N7" s="1127"/>
      <c r="O7" s="1118"/>
      <c r="P7" s="1119"/>
    </row>
    <row r="8" ht="24.75" customHeight="1">
      <c r="B8" s="1128"/>
      <c r="C8" s="1121"/>
      <c r="D8" s="1122"/>
      <c r="E8" s="1126"/>
      <c r="F8" s="1130"/>
      <c r="G8" s="1118"/>
      <c r="H8" s="1119"/>
      <c r="J8" s="1120"/>
      <c r="K8" s="1121"/>
      <c r="L8" s="1122"/>
      <c r="M8" s="1126"/>
      <c r="N8" s="1127"/>
      <c r="O8" s="1118"/>
      <c r="P8" s="1119"/>
    </row>
    <row r="9" ht="24.75" customHeight="1">
      <c r="B9" s="1120"/>
      <c r="C9" s="1121"/>
      <c r="D9" s="1122"/>
      <c r="E9" s="1126"/>
      <c r="F9" s="1127"/>
      <c r="G9" s="1118"/>
      <c r="H9" s="1119"/>
      <c r="J9" s="1120"/>
      <c r="K9" s="1121"/>
      <c r="L9" s="1122"/>
      <c r="M9" s="1126"/>
      <c r="N9" s="1127"/>
      <c r="O9" s="1118"/>
      <c r="P9" s="1119"/>
    </row>
    <row r="10" ht="24.75" customHeight="1">
      <c r="B10" s="1120"/>
      <c r="C10" s="1121"/>
      <c r="D10" s="1122"/>
      <c r="E10" s="1126"/>
      <c r="F10" s="1127"/>
      <c r="G10" s="1118"/>
      <c r="H10" s="1119"/>
      <c r="J10" s="1120"/>
      <c r="K10" s="1121"/>
      <c r="L10" s="1122"/>
      <c r="M10" s="1126"/>
      <c r="N10" s="1127"/>
      <c r="O10" s="1118"/>
      <c r="P10" s="1119"/>
    </row>
    <row r="11" ht="24.75" customHeight="1">
      <c r="B11" s="1120"/>
      <c r="C11" s="1121"/>
      <c r="D11" s="1122"/>
      <c r="E11" s="1126"/>
      <c r="F11" s="1127"/>
      <c r="G11" s="1118"/>
      <c r="H11" s="1119"/>
      <c r="J11" s="1120"/>
      <c r="K11" s="1121"/>
      <c r="L11" s="1122"/>
      <c r="M11" s="1126"/>
      <c r="N11" s="1127"/>
      <c r="O11" s="1118"/>
      <c r="P11" s="1119"/>
    </row>
    <row r="12" ht="24.75" customHeight="1">
      <c r="B12" s="1120"/>
      <c r="C12" s="1121"/>
      <c r="D12" s="1122"/>
      <c r="E12" s="1126"/>
      <c r="F12" s="1127"/>
      <c r="G12" s="1118"/>
      <c r="H12" s="1119"/>
      <c r="J12" s="1120"/>
      <c r="K12" s="1121"/>
      <c r="L12" s="1122"/>
      <c r="M12" s="1126"/>
      <c r="N12" s="1127"/>
      <c r="O12" s="1118"/>
      <c r="P12" s="1119"/>
    </row>
    <row r="13" ht="24.75" customHeight="1">
      <c r="B13" s="1120"/>
      <c r="C13" s="1121"/>
      <c r="D13" s="1122"/>
      <c r="E13" s="1126"/>
      <c r="F13" s="1127"/>
      <c r="G13" s="1118"/>
      <c r="H13" s="1119"/>
      <c r="J13" s="1120"/>
      <c r="K13" s="1121"/>
      <c r="L13" s="1122"/>
      <c r="M13" s="1126"/>
      <c r="N13" s="1127"/>
      <c r="O13" s="1118"/>
      <c r="P13" s="1119"/>
    </row>
    <row r="14" ht="24.75" customHeight="1">
      <c r="B14" s="1131"/>
      <c r="C14" s="1132"/>
      <c r="D14" s="1133"/>
      <c r="E14" s="1134"/>
      <c r="F14" s="1135"/>
      <c r="G14" s="1136"/>
      <c r="H14" s="1137"/>
      <c r="J14" s="1131"/>
      <c r="K14" s="1132"/>
      <c r="L14" s="1133"/>
      <c r="M14" s="1134"/>
      <c r="N14" s="1135"/>
      <c r="O14" s="1136"/>
      <c r="P14" s="1137"/>
    </row>
    <row r="15" ht="24.75" customHeight="1">
      <c r="B15" s="1138"/>
      <c r="C15" s="1139"/>
      <c r="D15" s="1140"/>
      <c r="E15" s="1141"/>
      <c r="F15" s="1142"/>
      <c r="G15" s="1143"/>
      <c r="H15" s="1144"/>
      <c r="J15" s="1138"/>
      <c r="K15" s="1139"/>
      <c r="L15" s="1140"/>
      <c r="M15" s="1141"/>
      <c r="N15" s="1142"/>
      <c r="O15" s="1143"/>
      <c r="P15" s="1144"/>
    </row>
    <row r="16" ht="24.75" customHeight="1">
      <c r="B16" s="1138"/>
      <c r="C16" s="1139"/>
      <c r="D16" s="1140"/>
      <c r="E16" s="1141"/>
      <c r="F16" s="1142"/>
      <c r="G16" s="1143"/>
      <c r="H16" s="1144"/>
      <c r="J16" s="1138"/>
      <c r="K16" s="1139"/>
      <c r="L16" s="1140"/>
      <c r="M16" s="1141"/>
      <c r="N16" s="1142"/>
      <c r="O16" s="1143"/>
      <c r="P16" s="1144"/>
    </row>
    <row r="17" ht="24.75" customHeight="1">
      <c r="B17" s="1138"/>
      <c r="C17" s="1139"/>
      <c r="D17" s="1140"/>
      <c r="E17" s="1141"/>
      <c r="F17" s="1142"/>
      <c r="G17" s="1143"/>
      <c r="H17" s="1144"/>
      <c r="J17" s="1138"/>
      <c r="K17" s="1139"/>
      <c r="L17" s="1140"/>
      <c r="M17" s="1141"/>
      <c r="N17" s="1142"/>
      <c r="O17" s="1143"/>
      <c r="P17" s="1144"/>
    </row>
    <row r="18" ht="24.75" customHeight="1">
      <c r="B18" s="1138"/>
      <c r="C18" s="1139"/>
      <c r="D18" s="1140"/>
      <c r="E18" s="1141"/>
      <c r="F18" s="1142"/>
      <c r="G18" s="1143"/>
      <c r="H18" s="1144"/>
      <c r="J18" s="1138"/>
      <c r="K18" s="1139"/>
      <c r="L18" s="1140"/>
      <c r="M18" s="1141"/>
      <c r="N18" s="1142"/>
      <c r="O18" s="1143"/>
      <c r="P18" s="1144"/>
    </row>
    <row r="19" ht="24.75" customHeight="1">
      <c r="B19" s="1138"/>
      <c r="C19" s="1139"/>
      <c r="D19" s="1140"/>
      <c r="E19" s="1141"/>
      <c r="F19" s="1142"/>
      <c r="G19" s="1143"/>
      <c r="H19" s="1144"/>
      <c r="J19" s="1138"/>
      <c r="K19" s="1139"/>
      <c r="L19" s="1140"/>
      <c r="M19" s="1141"/>
      <c r="N19" s="1142"/>
      <c r="O19" s="1143"/>
      <c r="P19" s="1144"/>
    </row>
    <row r="20" ht="24.75" customHeight="1">
      <c r="B20" s="1138"/>
      <c r="C20" s="1139"/>
      <c r="D20" s="1140"/>
      <c r="E20" s="1141"/>
      <c r="F20" s="1142"/>
      <c r="G20" s="1143"/>
      <c r="H20" s="1144"/>
      <c r="J20" s="1138"/>
      <c r="K20" s="1139"/>
      <c r="L20" s="1140"/>
      <c r="M20" s="1141"/>
      <c r="N20" s="1142"/>
      <c r="O20" s="1143"/>
      <c r="P20" s="1144"/>
    </row>
    <row r="21" ht="24.75" customHeight="1">
      <c r="B21" s="1138"/>
      <c r="C21" s="1139"/>
      <c r="D21" s="1140"/>
      <c r="E21" s="1141"/>
      <c r="F21" s="1142"/>
      <c r="G21" s="1143"/>
      <c r="H21" s="1144"/>
      <c r="J21" s="1138"/>
      <c r="K21" s="1139"/>
      <c r="L21" s="1140"/>
      <c r="M21" s="1141"/>
      <c r="N21" s="1142"/>
      <c r="O21" s="1143"/>
      <c r="P21" s="1144"/>
    </row>
    <row r="22" ht="24.75" customHeight="1">
      <c r="B22" s="1138"/>
      <c r="C22" s="1139"/>
      <c r="D22" s="1140"/>
      <c r="E22" s="1141"/>
      <c r="F22" s="1142"/>
      <c r="G22" s="1143"/>
      <c r="H22" s="1144"/>
      <c r="J22" s="1138"/>
      <c r="K22" s="1139"/>
      <c r="L22" s="1140"/>
      <c r="M22" s="1141"/>
      <c r="N22" s="1142"/>
      <c r="O22" s="1143"/>
      <c r="P22" s="1144"/>
    </row>
    <row r="23" ht="24.75" customHeight="1">
      <c r="B23" s="1138"/>
      <c r="C23" s="1139"/>
      <c r="D23" s="1140"/>
      <c r="E23" s="1141"/>
      <c r="F23" s="1142"/>
      <c r="G23" s="1143"/>
      <c r="H23" s="1144"/>
      <c r="J23" s="1138"/>
      <c r="K23" s="1139"/>
      <c r="L23" s="1140"/>
      <c r="M23" s="1141"/>
      <c r="N23" s="1142"/>
      <c r="O23" s="1143"/>
      <c r="P23" s="1144"/>
    </row>
    <row r="24" ht="24.75" customHeight="1">
      <c r="B24" s="1138"/>
      <c r="C24" s="1139"/>
      <c r="D24" s="1140"/>
      <c r="E24" s="1141"/>
      <c r="F24" s="1142"/>
      <c r="G24" s="1143"/>
      <c r="H24" s="1144"/>
      <c r="J24" s="1138"/>
      <c r="K24" s="1139"/>
      <c r="L24" s="1140"/>
      <c r="M24" s="1141"/>
      <c r="N24" s="1142"/>
      <c r="O24" s="1143"/>
      <c r="P24" s="1144"/>
    </row>
    <row r="25" ht="24.75" customHeight="1">
      <c r="B25" s="1138"/>
      <c r="C25" s="1139"/>
      <c r="D25" s="1140"/>
      <c r="E25" s="1141"/>
      <c r="F25" s="1142"/>
      <c r="G25" s="1143"/>
      <c r="H25" s="1144"/>
      <c r="J25" s="1138"/>
      <c r="K25" s="1139"/>
      <c r="L25" s="1140"/>
      <c r="M25" s="1141"/>
      <c r="N25" s="1142"/>
      <c r="O25" s="1143"/>
      <c r="P25" s="1144"/>
    </row>
    <row r="26" ht="24.75" customHeight="1">
      <c r="B26" s="1138"/>
      <c r="C26" s="1139"/>
      <c r="D26" s="1140"/>
      <c r="E26" s="1141"/>
      <c r="F26" s="1142"/>
      <c r="G26" s="1143"/>
      <c r="H26" s="1144"/>
      <c r="J26" s="1138"/>
      <c r="K26" s="1139"/>
      <c r="L26" s="1140"/>
      <c r="M26" s="1141"/>
      <c r="N26" s="1142"/>
      <c r="O26" s="1143"/>
      <c r="P26" s="1144"/>
    </row>
    <row r="27" ht="24.75" customHeight="1">
      <c r="B27" s="1138"/>
      <c r="C27" s="1139"/>
      <c r="D27" s="1140"/>
      <c r="E27" s="1141"/>
      <c r="F27" s="1142"/>
      <c r="G27" s="1143"/>
      <c r="H27" s="1144"/>
      <c r="J27" s="1138"/>
      <c r="K27" s="1139"/>
      <c r="L27" s="1140"/>
      <c r="M27" s="1141"/>
      <c r="N27" s="1142"/>
      <c r="O27" s="1143"/>
      <c r="P27" s="1144"/>
    </row>
    <row r="28" ht="24.75" customHeight="1">
      <c r="B28" s="1138"/>
      <c r="C28" s="1139"/>
      <c r="D28" s="1140"/>
      <c r="E28" s="1141"/>
      <c r="F28" s="1142"/>
      <c r="G28" s="1143"/>
      <c r="H28" s="1144"/>
      <c r="J28" s="1138"/>
      <c r="K28" s="1139"/>
      <c r="L28" s="1140"/>
      <c r="M28" s="1141"/>
      <c r="N28" s="1142"/>
      <c r="O28" s="1143"/>
      <c r="P28" s="1144"/>
    </row>
    <row r="29" ht="24.75" customHeight="1">
      <c r="B29" s="1138"/>
      <c r="C29" s="1139"/>
      <c r="D29" s="1140"/>
      <c r="E29" s="1141"/>
      <c r="F29" s="1142"/>
      <c r="G29" s="1143"/>
      <c r="H29" s="1144"/>
      <c r="J29" s="1138"/>
      <c r="K29" s="1139"/>
      <c r="L29" s="1140"/>
      <c r="M29" s="1141"/>
      <c r="N29" s="1142"/>
      <c r="O29" s="1143"/>
      <c r="P29" s="1144"/>
    </row>
    <row r="30" ht="24.75" customHeight="1">
      <c r="B30" s="1138"/>
      <c r="C30" s="1139"/>
      <c r="D30" s="1140"/>
      <c r="E30" s="1141"/>
      <c r="F30" s="1142"/>
      <c r="G30" s="1143"/>
      <c r="H30" s="1144"/>
      <c r="J30" s="1138"/>
      <c r="K30" s="1139"/>
      <c r="L30" s="1140"/>
      <c r="M30" s="1141"/>
      <c r="N30" s="1142"/>
      <c r="O30" s="1143"/>
      <c r="P30" s="1144"/>
    </row>
    <row r="31" ht="24.75" customHeight="1">
      <c r="B31" s="1138"/>
      <c r="C31" s="1139"/>
      <c r="D31" s="1140"/>
      <c r="E31" s="1141"/>
      <c r="F31" s="1142"/>
      <c r="G31" s="1143"/>
      <c r="H31" s="1144"/>
      <c r="J31" s="1138"/>
      <c r="K31" s="1139"/>
      <c r="L31" s="1140"/>
      <c r="M31" s="1141"/>
      <c r="N31" s="1142"/>
      <c r="O31" s="1143"/>
      <c r="P31" s="1144"/>
    </row>
    <row r="32" ht="24.75" customHeight="1">
      <c r="B32" s="1138"/>
      <c r="C32" s="1139"/>
      <c r="D32" s="1140"/>
      <c r="E32" s="1141"/>
      <c r="F32" s="1142"/>
      <c r="G32" s="1143"/>
      <c r="H32" s="1144"/>
      <c r="J32" s="1138"/>
      <c r="K32" s="1139"/>
      <c r="L32" s="1140"/>
      <c r="M32" s="1141"/>
      <c r="N32" s="1142"/>
      <c r="O32" s="1143"/>
      <c r="P32" s="1144"/>
    </row>
    <row r="33" ht="24.75" customHeight="1">
      <c r="B33" s="1138"/>
      <c r="C33" s="1139"/>
      <c r="D33" s="1140"/>
      <c r="E33" s="1141"/>
      <c r="F33" s="1142"/>
      <c r="G33" s="1143"/>
      <c r="H33" s="1144"/>
      <c r="J33" s="1138"/>
      <c r="K33" s="1139"/>
      <c r="L33" s="1140"/>
      <c r="M33" s="1141"/>
      <c r="N33" s="1142"/>
      <c r="O33" s="1143"/>
      <c r="P33" s="1144"/>
    </row>
    <row r="34" ht="24.75" customHeight="1">
      <c r="B34" s="1138"/>
      <c r="C34" s="1139"/>
      <c r="D34" s="1140"/>
      <c r="E34" s="1141"/>
      <c r="F34" s="1142"/>
      <c r="G34" s="1143"/>
      <c r="H34" s="1144"/>
      <c r="J34" s="1138"/>
      <c r="K34" s="1139"/>
      <c r="L34" s="1140"/>
      <c r="M34" s="1141"/>
      <c r="N34" s="1142"/>
      <c r="O34" s="1143"/>
      <c r="P34" s="1144"/>
    </row>
  </sheetData>
  <mergeCells count="6">
    <mergeCell ref="A1:Q1"/>
    <mergeCell ref="A2:A34"/>
    <mergeCell ref="B2:H2"/>
    <mergeCell ref="I2:I34"/>
    <mergeCell ref="J2:P2"/>
    <mergeCell ref="Q2:Q34"/>
  </mergeCells>
  <hyperlinks>
    <hyperlink r:id="rId1" location="gid=81578061" ref="B4"/>
    <hyperlink r:id="rId2" location="gid=2009091628" ref="C4"/>
    <hyperlink r:id="rId3" location="gid=1706134817" ref="D4"/>
    <hyperlink r:id="rId4" location="gid=906865443" ref="E4"/>
    <hyperlink r:id="rId5" location="gid=743542896" ref="F4"/>
    <hyperlink r:id="rId6" location="gid=1637372952" ref="H4"/>
    <hyperlink r:id="rId7" location="gid=1901931405" ref="J4"/>
    <hyperlink r:id="rId8" location="gid=513764937" ref="K4"/>
    <hyperlink r:id="rId9" location="gid=776547770" ref="L4"/>
    <hyperlink r:id="rId10" location="gid=1770781884" ref="M4"/>
    <hyperlink r:id="rId11" location="gid=1015121446" ref="N4"/>
    <hyperlink r:id="rId12" location="gid=1089293944" ref="P4"/>
    <hyperlink r:id="rId13" location="gid=222219902" ref="B5"/>
    <hyperlink r:id="rId14" location="gid=1392836589" ref="C5"/>
    <hyperlink r:id="rId15" location="gid=103343321" ref="E5"/>
    <hyperlink r:id="rId16" location="gid=1871247285" ref="F5"/>
    <hyperlink r:id="rId17" location="gid=982020803" ref="M5"/>
    <hyperlink r:id="rId18" location="gid=639377153" ref="N5"/>
    <hyperlink r:id="rId19" location="gid=1318012595" ref="P5"/>
    <hyperlink r:id="rId20" location="gid=1092992478" ref="B6"/>
    <hyperlink r:id="rId21" location="gid=926341684" ref="F6"/>
    <hyperlink r:id="rId22" location="gid=1177698765" ref="F7"/>
  </hyperlinks>
  <drawing r:id="rId23"/>
</worksheet>
</file>