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8" windowWidth="20184" windowHeight="4452" firstSheet="1" activeTab="1"/>
  </bookViews>
  <sheets>
    <sheet name="UPDATED_SPECART1Backup" sheetId="22" state="hidden" r:id="rId1"/>
    <sheet name="UPDATED_SPECART1" sheetId="20" r:id="rId2"/>
    <sheet name="2010_TEA" sheetId="23" r:id="rId3"/>
    <sheet name="2015_TEA" sheetId="1" r:id="rId4"/>
    <sheet name="MK_Growth" sheetId="10" r:id="rId5"/>
    <sheet name="OCCC_Attendance" sheetId="24" r:id="rId6"/>
    <sheet name="Scratch" sheetId="21" r:id="rId7"/>
    <sheet name="2010" sheetId="2" r:id="rId8"/>
    <sheet name="2015" sheetId="3" r:id="rId9"/>
    <sheet name="2020" sheetId="4" r:id="rId10"/>
    <sheet name="2025" sheetId="5" r:id="rId11"/>
    <sheet name="2030" sheetId="6" r:id="rId12"/>
    <sheet name="2035" sheetId="7" r:id="rId13"/>
    <sheet name="2040" sheetId="8" r:id="rId14"/>
    <sheet name="2045" sheetId="9" r:id="rId15"/>
  </sheets>
  <definedNames>
    <definedName name="_xlnm.Print_Area" localSheetId="1">UPDATED_SPECART1!$A$2:$M$29</definedName>
  </definedNames>
  <calcPr calcId="145621"/>
</workbook>
</file>

<file path=xl/calcChain.xml><?xml version="1.0" encoding="utf-8"?>
<calcChain xmlns="http://schemas.openxmlformats.org/spreadsheetml/2006/main">
  <c r="S26" i="20" l="1"/>
  <c r="D3" i="24" l="1"/>
  <c r="D4" i="24"/>
  <c r="D5" i="24"/>
  <c r="D6" i="24"/>
  <c r="D7" i="24"/>
  <c r="D8" i="24"/>
  <c r="D9" i="24"/>
  <c r="D10" i="24"/>
  <c r="D11" i="24"/>
  <c r="D12" i="24"/>
  <c r="D13" i="24"/>
  <c r="F38" i="24"/>
  <c r="V19" i="20" l="1"/>
  <c r="U19" i="20"/>
  <c r="T19" i="20"/>
  <c r="S19" i="20"/>
  <c r="R19" i="20"/>
  <c r="Q19" i="20"/>
  <c r="P19" i="20"/>
  <c r="F25" i="23"/>
  <c r="F24" i="23"/>
  <c r="D25" i="23"/>
  <c r="D24" i="23"/>
  <c r="D17" i="9" l="1"/>
  <c r="D16" i="9"/>
  <c r="D10" i="9"/>
  <c r="D8" i="9"/>
  <c r="D6" i="9"/>
  <c r="D17" i="8"/>
  <c r="D16" i="8"/>
  <c r="D10" i="8"/>
  <c r="D8" i="8"/>
  <c r="D6" i="8"/>
  <c r="D17" i="7"/>
  <c r="D16" i="7"/>
  <c r="D10" i="7"/>
  <c r="D8" i="7"/>
  <c r="D6" i="7"/>
  <c r="D17" i="6"/>
  <c r="D16" i="6"/>
  <c r="D10" i="6"/>
  <c r="D8" i="6"/>
  <c r="D6" i="6"/>
  <c r="D17" i="5"/>
  <c r="D16" i="5"/>
  <c r="D10" i="5"/>
  <c r="D8" i="5"/>
  <c r="D6" i="5"/>
  <c r="D17" i="4"/>
  <c r="D16" i="4"/>
  <c r="D10" i="4"/>
  <c r="D8" i="4"/>
  <c r="D6" i="4"/>
  <c r="D17" i="3"/>
  <c r="D16" i="3"/>
  <c r="D10" i="3"/>
  <c r="D8" i="3"/>
  <c r="D3" i="3"/>
  <c r="F44" i="24" l="1"/>
  <c r="F42" i="24"/>
  <c r="F41" i="24"/>
  <c r="I2" i="24"/>
  <c r="I3" i="24"/>
  <c r="I4" i="24"/>
  <c r="I5" i="24"/>
  <c r="I6" i="24"/>
  <c r="I7" i="24"/>
  <c r="I8" i="24"/>
  <c r="F13" i="24"/>
  <c r="F12" i="24"/>
  <c r="F11" i="24"/>
  <c r="F10" i="24"/>
  <c r="F9" i="24"/>
  <c r="F8" i="24"/>
  <c r="F7" i="24"/>
  <c r="F6" i="24"/>
  <c r="F5" i="24"/>
  <c r="F4" i="24"/>
  <c r="F3" i="24"/>
  <c r="F2" i="24"/>
  <c r="D32" i="1"/>
  <c r="V6" i="20"/>
  <c r="U6" i="20"/>
  <c r="T6" i="20"/>
  <c r="S6" i="20"/>
  <c r="R6" i="20"/>
  <c r="Q6" i="20"/>
  <c r="C10" i="23"/>
  <c r="E18" i="20" s="1"/>
  <c r="D15" i="2" s="1"/>
  <c r="C19" i="21"/>
  <c r="C9" i="23"/>
  <c r="E17" i="20" s="1"/>
  <c r="D14" i="2" s="1"/>
  <c r="C18" i="21"/>
  <c r="C8" i="23"/>
  <c r="C17" i="21" s="1"/>
  <c r="G19" i="20"/>
  <c r="H19" i="20"/>
  <c r="I19" i="20"/>
  <c r="J19" i="20"/>
  <c r="K19" i="20"/>
  <c r="L19" i="20"/>
  <c r="D29" i="1"/>
  <c r="F18" i="20"/>
  <c r="D15" i="3" s="1"/>
  <c r="D28" i="1"/>
  <c r="F17" i="20"/>
  <c r="D14" i="3" s="1"/>
  <c r="G17" i="20"/>
  <c r="D14" i="4" s="1"/>
  <c r="D27" i="1"/>
  <c r="F16" i="20"/>
  <c r="D13" i="3" s="1"/>
  <c r="D26" i="1"/>
  <c r="F15" i="20"/>
  <c r="D12" i="3" s="1"/>
  <c r="C7" i="23"/>
  <c r="E15" i="20" s="1"/>
  <c r="D12" i="2" s="1"/>
  <c r="C6" i="23"/>
  <c r="C15" i="21" s="1"/>
  <c r="D14" i="20"/>
  <c r="G15" i="20"/>
  <c r="D12" i="4" s="1"/>
  <c r="D25" i="1"/>
  <c r="F14" i="20"/>
  <c r="D11" i="3" s="1"/>
  <c r="G13" i="20"/>
  <c r="H13" i="20"/>
  <c r="I13" i="20"/>
  <c r="J13" i="20"/>
  <c r="K13" i="20"/>
  <c r="L13" i="20"/>
  <c r="D24" i="1"/>
  <c r="F12" i="20"/>
  <c r="D9" i="3" s="1"/>
  <c r="H23" i="1"/>
  <c r="D23" i="1"/>
  <c r="F10" i="20"/>
  <c r="D7" i="3" s="1"/>
  <c r="G10" i="20"/>
  <c r="D7" i="4" s="1"/>
  <c r="G3" i="23"/>
  <c r="C3" i="23" s="1"/>
  <c r="H22" i="1"/>
  <c r="D22" i="1"/>
  <c r="F9" i="20"/>
  <c r="D6" i="3" s="1"/>
  <c r="C5" i="23"/>
  <c r="E12" i="20"/>
  <c r="D9" i="2" s="1"/>
  <c r="C14" i="21"/>
  <c r="G4" i="23"/>
  <c r="C4" i="23" s="1"/>
  <c r="R23" i="20"/>
  <c r="R24" i="20"/>
  <c r="R25" i="20"/>
  <c r="S24" i="20" s="1"/>
  <c r="F7" i="20" s="1"/>
  <c r="G7" i="20" s="1"/>
  <c r="H7" i="20" s="1"/>
  <c r="I7" i="20" s="1"/>
  <c r="J7" i="20" s="1"/>
  <c r="K7" i="20" s="1"/>
  <c r="L7" i="20" s="1"/>
  <c r="C14" i="23"/>
  <c r="C13" i="23"/>
  <c r="C12" i="23"/>
  <c r="C11" i="23"/>
  <c r="D33" i="1"/>
  <c r="D17" i="2"/>
  <c r="D16" i="2"/>
  <c r="D10" i="2"/>
  <c r="D8" i="2"/>
  <c r="D3" i="2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V14" i="20"/>
  <c r="V15" i="20"/>
  <c r="L5" i="20"/>
  <c r="D2" i="9" s="1"/>
  <c r="U14" i="20"/>
  <c r="U15" i="20" s="1"/>
  <c r="T14" i="20"/>
  <c r="T15" i="20"/>
  <c r="J5" i="20" s="1"/>
  <c r="D2" i="7" s="1"/>
  <c r="S14" i="20"/>
  <c r="S15" i="20"/>
  <c r="R14" i="20"/>
  <c r="R15" i="20"/>
  <c r="H5" i="20"/>
  <c r="D2" i="5" s="1"/>
  <c r="Q14" i="20"/>
  <c r="Q15" i="20"/>
  <c r="G5" i="20"/>
  <c r="D2" i="4" s="1"/>
  <c r="P14" i="20"/>
  <c r="P15" i="20"/>
  <c r="F5" i="20"/>
  <c r="D2" i="3" s="1"/>
  <c r="D2" i="2"/>
  <c r="C28" i="20"/>
  <c r="D10" i="22"/>
  <c r="G10" i="22"/>
  <c r="J10" i="22"/>
  <c r="C10" i="22"/>
  <c r="E10" i="22"/>
  <c r="I10" i="22"/>
  <c r="H10" i="22"/>
  <c r="F10" i="22"/>
  <c r="G21" i="10"/>
  <c r="I21" i="10"/>
  <c r="H31" i="1"/>
  <c r="D31" i="1"/>
  <c r="D5" i="22"/>
  <c r="E5" i="22"/>
  <c r="F5" i="22"/>
  <c r="G5" i="22"/>
  <c r="H5" i="22"/>
  <c r="I5" i="22"/>
  <c r="J5" i="22"/>
  <c r="D30" i="1"/>
  <c r="D19" i="21"/>
  <c r="D17" i="22"/>
  <c r="E17" i="22"/>
  <c r="F17" i="22"/>
  <c r="G17" i="22"/>
  <c r="H17" i="22"/>
  <c r="I17" i="22"/>
  <c r="J17" i="22"/>
  <c r="D18" i="21"/>
  <c r="D16" i="22"/>
  <c r="D17" i="21"/>
  <c r="D15" i="22"/>
  <c r="E15" i="22"/>
  <c r="F15" i="22"/>
  <c r="G15" i="22"/>
  <c r="H15" i="22"/>
  <c r="I15" i="22"/>
  <c r="J15" i="22"/>
  <c r="D16" i="21"/>
  <c r="D14" i="22"/>
  <c r="E14" i="22"/>
  <c r="F14" i="22"/>
  <c r="G14" i="22"/>
  <c r="H14" i="22"/>
  <c r="I14" i="22"/>
  <c r="J14" i="22"/>
  <c r="D15" i="21"/>
  <c r="D13" i="22"/>
  <c r="E13" i="22"/>
  <c r="F13" i="22"/>
  <c r="G13" i="22"/>
  <c r="H13" i="22"/>
  <c r="I13" i="22"/>
  <c r="J13" i="22"/>
  <c r="D14" i="21"/>
  <c r="D11" i="22"/>
  <c r="D13" i="21"/>
  <c r="D9" i="22"/>
  <c r="E9" i="22"/>
  <c r="F9" i="22"/>
  <c r="G9" i="22"/>
  <c r="H9" i="22"/>
  <c r="I9" i="22"/>
  <c r="J9" i="22"/>
  <c r="J16" i="22"/>
  <c r="G16" i="22"/>
  <c r="I16" i="22"/>
  <c r="F16" i="22"/>
  <c r="E16" i="22"/>
  <c r="H16" i="22"/>
  <c r="J11" i="22"/>
  <c r="G11" i="22"/>
  <c r="I11" i="22"/>
  <c r="H11" i="22"/>
  <c r="E11" i="22"/>
  <c r="F11" i="22"/>
  <c r="D12" i="21"/>
  <c r="D7" i="22"/>
  <c r="E7" i="22"/>
  <c r="F7" i="22"/>
  <c r="G7" i="22"/>
  <c r="H7" i="22"/>
  <c r="I7" i="22"/>
  <c r="J7" i="22"/>
  <c r="C12" i="22"/>
  <c r="D12" i="22"/>
  <c r="C8" i="22"/>
  <c r="E12" i="22"/>
  <c r="F12" i="22"/>
  <c r="G12" i="22"/>
  <c r="H12" i="22"/>
  <c r="I12" i="22"/>
  <c r="J12" i="22"/>
  <c r="G17" i="1"/>
  <c r="E18" i="1"/>
  <c r="C13" i="1"/>
  <c r="D16" i="1"/>
  <c r="D14" i="1"/>
  <c r="E17" i="1"/>
  <c r="G8" i="1"/>
  <c r="C16" i="1"/>
  <c r="D8" i="1"/>
  <c r="H18" i="1"/>
  <c r="E9" i="1"/>
  <c r="F8" i="1"/>
  <c r="H11" i="1"/>
  <c r="G11" i="1"/>
  <c r="J17" i="1"/>
  <c r="H4" i="1"/>
  <c r="C15" i="1"/>
  <c r="E15" i="1"/>
  <c r="F18" i="1"/>
  <c r="J8" i="1"/>
  <c r="D11" i="1"/>
  <c r="G18" i="1"/>
  <c r="E11" i="1"/>
  <c r="H8" i="1"/>
  <c r="E4" i="1"/>
  <c r="D13" i="1"/>
  <c r="D18" i="1"/>
  <c r="E8" i="1"/>
  <c r="F11" i="1"/>
  <c r="D5" i="1"/>
  <c r="F17" i="1"/>
  <c r="J18" i="1"/>
  <c r="I18" i="1"/>
  <c r="J11" i="1"/>
  <c r="D15" i="1"/>
  <c r="H17" i="1"/>
  <c r="J4" i="1"/>
  <c r="E13" i="1"/>
  <c r="I17" i="1"/>
  <c r="C18" i="1"/>
  <c r="I8" i="1"/>
  <c r="D10" i="1"/>
  <c r="C5" i="1"/>
  <c r="D9" i="1"/>
  <c r="D4" i="1"/>
  <c r="C17" i="1"/>
  <c r="C10" i="1"/>
  <c r="F4" i="1"/>
  <c r="C11" i="1"/>
  <c r="C4" i="1"/>
  <c r="D12" i="1"/>
  <c r="I11" i="1"/>
  <c r="D17" i="1"/>
  <c r="G14" i="20" l="1"/>
  <c r="D11" i="4" s="1"/>
  <c r="G16" i="20"/>
  <c r="D13" i="4" s="1"/>
  <c r="H16" i="20"/>
  <c r="H17" i="20"/>
  <c r="H14" i="20"/>
  <c r="G18" i="20"/>
  <c r="H15" i="20"/>
  <c r="H10" i="20"/>
  <c r="G12" i="20"/>
  <c r="F39" i="24"/>
  <c r="U17" i="20"/>
  <c r="U18" i="20" s="1"/>
  <c r="U16" i="20"/>
  <c r="K5" i="20"/>
  <c r="D2" i="8" s="1"/>
  <c r="V17" i="20"/>
  <c r="V18" i="20" s="1"/>
  <c r="V16" i="20"/>
  <c r="S17" i="20"/>
  <c r="S18" i="20" s="1"/>
  <c r="S16" i="20"/>
  <c r="P17" i="20"/>
  <c r="P18" i="20" s="1"/>
  <c r="P16" i="20"/>
  <c r="T17" i="20"/>
  <c r="T18" i="20" s="1"/>
  <c r="T16" i="20"/>
  <c r="Q17" i="20"/>
  <c r="Q18" i="20" s="1"/>
  <c r="Q16" i="20"/>
  <c r="R17" i="20"/>
  <c r="R18" i="20" s="1"/>
  <c r="R16" i="20"/>
  <c r="I5" i="20"/>
  <c r="D2" i="6" s="1"/>
  <c r="D4" i="3"/>
  <c r="S23" i="20"/>
  <c r="F8" i="20" s="1"/>
  <c r="G8" i="20" s="1"/>
  <c r="H8" i="20" s="1"/>
  <c r="I8" i="20" s="1"/>
  <c r="J8" i="20" s="1"/>
  <c r="K8" i="20" s="1"/>
  <c r="L8" i="20" s="1"/>
  <c r="E8" i="20"/>
  <c r="D5" i="2" s="1"/>
  <c r="G6" i="20"/>
  <c r="D3" i="4" s="1"/>
  <c r="L6" i="20"/>
  <c r="D3" i="9" s="1"/>
  <c r="K6" i="20"/>
  <c r="D3" i="8" s="1"/>
  <c r="J6" i="20"/>
  <c r="D3" i="7" s="1"/>
  <c r="I6" i="20"/>
  <c r="D3" i="6" s="1"/>
  <c r="H6" i="20"/>
  <c r="D3" i="5" s="1"/>
  <c r="E14" i="20"/>
  <c r="D11" i="2" s="1"/>
  <c r="C16" i="21"/>
  <c r="E7" i="20"/>
  <c r="D4" i="2" s="1"/>
  <c r="C13" i="21"/>
  <c r="E10" i="20"/>
  <c r="D7" i="2" s="1"/>
  <c r="E9" i="20"/>
  <c r="D6" i="2" s="1"/>
  <c r="C12" i="21"/>
  <c r="E16" i="20"/>
  <c r="D13" i="2" s="1"/>
  <c r="E19" i="22"/>
  <c r="C25" i="1"/>
  <c r="C29" i="1"/>
  <c r="C19" i="22"/>
  <c r="C28" i="1"/>
  <c r="C18" i="22"/>
  <c r="C4" i="22"/>
  <c r="C16" i="22"/>
  <c r="C23" i="1"/>
  <c r="C22" i="1"/>
  <c r="C17" i="22"/>
  <c r="C14" i="22"/>
  <c r="D18" i="22"/>
  <c r="E18" i="22" s="1"/>
  <c r="F18" i="22" s="1"/>
  <c r="G18" i="22" s="1"/>
  <c r="H18" i="22" s="1"/>
  <c r="I18" i="22" s="1"/>
  <c r="J18" i="22" s="1"/>
  <c r="C24" i="1"/>
  <c r="D19" i="22"/>
  <c r="C27" i="1"/>
  <c r="C26" i="1"/>
  <c r="C11" i="22"/>
  <c r="C3" i="22"/>
  <c r="E12" i="1"/>
  <c r="E14" i="1"/>
  <c r="C6" i="1"/>
  <c r="C14" i="1"/>
  <c r="I4" i="1"/>
  <c r="I5" i="1"/>
  <c r="C9" i="1"/>
  <c r="E5" i="1"/>
  <c r="C12" i="1"/>
  <c r="C8" i="1"/>
  <c r="C7" i="1"/>
  <c r="G5" i="1"/>
  <c r="G4" i="1"/>
  <c r="H5" i="1"/>
  <c r="J5" i="1"/>
  <c r="D6" i="1"/>
  <c r="F5" i="1"/>
  <c r="D7" i="5" l="1"/>
  <c r="I10" i="20"/>
  <c r="D11" i="5"/>
  <c r="I14" i="20"/>
  <c r="D9" i="4"/>
  <c r="H12" i="20"/>
  <c r="D12" i="5"/>
  <c r="I15" i="20"/>
  <c r="D15" i="4"/>
  <c r="H18" i="20"/>
  <c r="D14" i="5"/>
  <c r="I17" i="20"/>
  <c r="D13" i="5"/>
  <c r="I16" i="20"/>
  <c r="C6" i="22"/>
  <c r="D5" i="3"/>
  <c r="D4" i="4"/>
  <c r="C13" i="22"/>
  <c r="C5" i="22"/>
  <c r="C7" i="22"/>
  <c r="C9" i="22"/>
  <c r="C15" i="22"/>
  <c r="J19" i="22"/>
  <c r="F19" i="22"/>
  <c r="G19" i="22"/>
  <c r="I19" i="22"/>
  <c r="H19" i="22"/>
  <c r="F9" i="1"/>
  <c r="F13" i="1"/>
  <c r="F12" i="1"/>
  <c r="E10" i="1"/>
  <c r="F15" i="1"/>
  <c r="F14" i="1"/>
  <c r="E16" i="1"/>
  <c r="E6" i="1"/>
  <c r="D7" i="1"/>
  <c r="D12" i="6" l="1"/>
  <c r="J15" i="20"/>
  <c r="D9" i="5"/>
  <c r="I12" i="20"/>
  <c r="D14" i="6"/>
  <c r="J17" i="20"/>
  <c r="D11" i="6"/>
  <c r="J14" i="20"/>
  <c r="D7" i="6"/>
  <c r="J10" i="20"/>
  <c r="D13" i="6"/>
  <c r="J16" i="20"/>
  <c r="D15" i="5"/>
  <c r="I18" i="20"/>
  <c r="D4" i="5"/>
  <c r="D5" i="4"/>
  <c r="G15" i="1"/>
  <c r="G12" i="1"/>
  <c r="G14" i="1"/>
  <c r="G9" i="1"/>
  <c r="F16" i="1"/>
  <c r="G13" i="1"/>
  <c r="F10" i="1"/>
  <c r="F6" i="1"/>
  <c r="E7" i="1"/>
  <c r="D14" i="7" l="1"/>
  <c r="K17" i="20"/>
  <c r="D12" i="7"/>
  <c r="K15" i="20"/>
  <c r="D7" i="7"/>
  <c r="K10" i="20"/>
  <c r="D11" i="7"/>
  <c r="K14" i="20"/>
  <c r="D15" i="6"/>
  <c r="J18" i="20"/>
  <c r="D13" i="7"/>
  <c r="K16" i="20"/>
  <c r="D9" i="6"/>
  <c r="J12" i="20"/>
  <c r="D5" i="5"/>
  <c r="D4" i="6"/>
  <c r="H9" i="1"/>
  <c r="H12" i="1"/>
  <c r="H14" i="1"/>
  <c r="G16" i="1"/>
  <c r="H15" i="1"/>
  <c r="G10" i="1"/>
  <c r="H13" i="1"/>
  <c r="F7" i="1"/>
  <c r="G6" i="1"/>
  <c r="D14" i="8" l="1"/>
  <c r="L17" i="20"/>
  <c r="D14" i="9" s="1"/>
  <c r="D9" i="7"/>
  <c r="K12" i="20"/>
  <c r="D15" i="7"/>
  <c r="K18" i="20"/>
  <c r="D11" i="8"/>
  <c r="L14" i="20"/>
  <c r="D11" i="9" s="1"/>
  <c r="D7" i="8"/>
  <c r="L10" i="20"/>
  <c r="D7" i="9" s="1"/>
  <c r="D12" i="8"/>
  <c r="L15" i="20"/>
  <c r="D12" i="9" s="1"/>
  <c r="D13" i="8"/>
  <c r="L16" i="20"/>
  <c r="D13" i="9" s="1"/>
  <c r="D5" i="6"/>
  <c r="D4" i="7"/>
  <c r="I15" i="1"/>
  <c r="I13" i="1"/>
  <c r="J14" i="1"/>
  <c r="J15" i="1"/>
  <c r="H10" i="1"/>
  <c r="I14" i="1"/>
  <c r="I9" i="1"/>
  <c r="H16" i="1"/>
  <c r="J13" i="1"/>
  <c r="I12" i="1"/>
  <c r="J12" i="1"/>
  <c r="J9" i="1"/>
  <c r="G7" i="1"/>
  <c r="H6" i="1"/>
  <c r="D15" i="8" l="1"/>
  <c r="L18" i="20"/>
  <c r="D15" i="9" s="1"/>
  <c r="D9" i="8"/>
  <c r="L12" i="20"/>
  <c r="D9" i="9" s="1"/>
  <c r="D4" i="8"/>
  <c r="D4" i="9"/>
  <c r="D5" i="7"/>
  <c r="J16" i="1"/>
  <c r="I16" i="1"/>
  <c r="J10" i="1"/>
  <c r="I10" i="1"/>
  <c r="I6" i="1"/>
  <c r="J6" i="1"/>
  <c r="H7" i="1"/>
  <c r="D5" i="8" l="1"/>
  <c r="D5" i="9"/>
  <c r="I7" i="1"/>
  <c r="J7" i="1"/>
</calcChain>
</file>

<file path=xl/sharedStrings.xml><?xml version="1.0" encoding="utf-8"?>
<sst xmlns="http://schemas.openxmlformats.org/spreadsheetml/2006/main" count="390" uniqueCount="108">
  <si>
    <t>COUNTER</t>
  </si>
  <si>
    <t>ZONE</t>
  </si>
  <si>
    <t>PRODS</t>
  </si>
  <si>
    <t>VISRATE</t>
  </si>
  <si>
    <t>RESRATE</t>
  </si>
  <si>
    <t>EXTRATE</t>
  </si>
  <si>
    <t>APTFLAG</t>
  </si>
  <si>
    <t>DISTRICT</t>
  </si>
  <si>
    <t>GROUP</t>
  </si>
  <si>
    <t>DESCR</t>
  </si>
  <si>
    <t>Orlando International Airport</t>
  </si>
  <si>
    <t>Orlando International Airport exp</t>
  </si>
  <si>
    <t>Orange County Convention Center</t>
  </si>
  <si>
    <t>Orange County Convention Center exp</t>
  </si>
  <si>
    <t>Universal Orlando</t>
  </si>
  <si>
    <t>Universal Orlando Expansion</t>
  </si>
  <si>
    <t>Typhoon Lagoon</t>
  </si>
  <si>
    <t>Pleasure Island / Downtown Disney</t>
  </si>
  <si>
    <t>MGM Studios</t>
  </si>
  <si>
    <t>Animal Kingdom</t>
  </si>
  <si>
    <t>EPCOT Center</t>
  </si>
  <si>
    <t>Blizzard Beach</t>
  </si>
  <si>
    <t>Magic Kingdom</t>
  </si>
  <si>
    <t>Kennedy Space Center</t>
  </si>
  <si>
    <t>Port Canaveral</t>
  </si>
  <si>
    <t>2015 CFRPM</t>
  </si>
  <si>
    <t>2015 TEA</t>
  </si>
  <si>
    <t>Productions</t>
  </si>
  <si>
    <t>Annualization Factor</t>
  </si>
  <si>
    <t>MK</t>
  </si>
  <si>
    <t>Souce: TEA</t>
  </si>
  <si>
    <t>Updated Themeparks</t>
  </si>
  <si>
    <t>Sea World/Aquatica</t>
  </si>
  <si>
    <t>Aquatica</t>
  </si>
  <si>
    <t>n.a.</t>
  </si>
  <si>
    <t>Discovery Cove</t>
  </si>
  <si>
    <t xml:space="preserve">Assumptions: </t>
  </si>
  <si>
    <t xml:space="preserve">OIA CAGR 3.8%, per OIA Passenger Forecast </t>
  </si>
  <si>
    <t>OCCC</t>
  </si>
  <si>
    <t>CAGR</t>
  </si>
  <si>
    <t>OCCC Keyed to airport growth</t>
  </si>
  <si>
    <t>2010 unchanged</t>
  </si>
  <si>
    <t>Theme Park growth keyed to Magic Kingdom CAGR of 1.16%.  Based on 1991-2015 attendance linear trend extrapolation to 2045</t>
  </si>
  <si>
    <t>Port Canaveral Growth to assume three additional berths in service by 2025</t>
  </si>
  <si>
    <t>Description</t>
  </si>
  <si>
    <t>Orlando International Airport Exp</t>
  </si>
  <si>
    <t>Orange County Convention Center Exp</t>
  </si>
  <si>
    <t>Water parks to remain constant</t>
  </si>
  <si>
    <t>Water parks remain constant</t>
  </si>
  <si>
    <t>OIA CAGR 3.8%, from OIA Passenger Forecast Report</t>
  </si>
  <si>
    <t>All theme park growth keyed to Magic Kingdom CAGR of 1.16%.  Based on 1991-2015 attendance linear trend extrapolation to 2045</t>
  </si>
  <si>
    <t>Wet n/ Wild</t>
  </si>
  <si>
    <t>OCCC Sq. Ft.</t>
  </si>
  <si>
    <t>West</t>
  </si>
  <si>
    <t>North/South</t>
  </si>
  <si>
    <t>Disney Springs</t>
  </si>
  <si>
    <t>Originals</t>
  </si>
  <si>
    <t>OIA expansion is based on south terminal phases in OIA Master Plan</t>
  </si>
  <si>
    <t>TAZ</t>
  </si>
  <si>
    <t>OIA 2010</t>
  </si>
  <si>
    <t>2010 TEA</t>
  </si>
  <si>
    <t>Hollywood Studios</t>
  </si>
  <si>
    <t>Univ+Volcano Bay</t>
  </si>
  <si>
    <t>Universal Orlando includes transfer of Wet'nWild attendance to Volcano Bay</t>
  </si>
  <si>
    <t>All Events</t>
  </si>
  <si>
    <t xml:space="preserve">Events </t>
  </si>
  <si>
    <t>Attendance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</si>
  <si>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</si>
  <si>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</si>
  <si>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</si>
  <si>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</si>
  <si>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</si>
  <si>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</si>
  <si>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</si>
  <si>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</si>
  <si>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</si>
  <si>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</si>
  <si>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</si>
  <si>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2010-2015 Monthly Average</t>
  </si>
  <si>
    <t>Annual Avg.</t>
  </si>
  <si>
    <t>Average weekday attendance approximation</t>
  </si>
  <si>
    <t>Average monthly attendance of top 4 consecutive months (2010-2015)</t>
  </si>
  <si>
    <t>Average monthly attendance of top 4 consecutive months (2015)</t>
  </si>
  <si>
    <t>Average # of person trips to/from convention center (2015), average of top 4 months; This should be entered into SPECATR file subdivided across OCCC and OCCC Expansion TAZs</t>
  </si>
  <si>
    <t>Theme Park</t>
  </si>
  <si>
    <t>2010 Global Attractions Attendance Report
 (A)</t>
  </si>
  <si>
    <t>Annualization Factor 
(B)</t>
  </si>
  <si>
    <t>2010 Productions
 (A/B)*2</t>
  </si>
  <si>
    <t>2015 Productions
 (A/B)*2</t>
  </si>
  <si>
    <t>2015 Global Attractions Attendance Report
 (A)</t>
  </si>
  <si>
    <t>Table 2</t>
  </si>
  <si>
    <t>Updated Theme Park Variables</t>
  </si>
  <si>
    <t>Source: 2010 and 2015 Global Attracions Attendance Report, hemed Enterntainment Association/AECOM</t>
  </si>
  <si>
    <t>OIA</t>
  </si>
  <si>
    <t>Percent North Terminal</t>
  </si>
  <si>
    <t>Percent South Terminal</t>
  </si>
  <si>
    <t>Total Gates</t>
  </si>
  <si>
    <t>North Terminal Passengers</t>
  </si>
  <si>
    <t>South Terminal Passengers</t>
  </si>
  <si>
    <t>Total OIA Passengers</t>
  </si>
  <si>
    <t>Table 3</t>
  </si>
  <si>
    <t>OIA CFRPM Special Attraction Productions</t>
  </si>
  <si>
    <t>North Terminal Gates</t>
  </si>
  <si>
    <t>South Terminal Gates</t>
  </si>
  <si>
    <t>Daves 2015 OCCC Rec.</t>
  </si>
  <si>
    <t>OCCC from top four consecutive months in 2015, subsequent growth keyed to the OIA 3.8% CAGR</t>
  </si>
  <si>
    <t>Table 6</t>
  </si>
  <si>
    <t>Final Updated SPECATR1_YYA.DBF Productions - Approved October 28,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</si>
</sst>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_(* #,##0.00000_);_(* \(#,##0.00000\);_(* &quot;-&quot;??_);_(@_)"/>
    <numFmt numFmtId="168" formatCode="mmm"/>
    <numFmt numFmtId="169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22" fillId="0" borderId="0"/>
  </cellStyleXfs>
  <cellXfs count="141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6" fillId="0" borderId="10" xfId="0" applyNumberFormat="1" applyFont="1" applyBorder="1"/>
    <xf numFmtId="165" fontId="0" fillId="0" borderId="10" xfId="1" applyNumberFormat="1" applyFont="1" applyBorder="1"/>
    <xf numFmtId="1" fontId="16" fillId="0" borderId="12" xfId="0" applyNumberFormat="1" applyFont="1" applyBorder="1"/>
    <xf numFmtId="165" fontId="0" fillId="0" borderId="12" xfId="1" applyNumberFormat="1" applyFont="1" applyBorder="1"/>
    <xf numFmtId="1" fontId="16" fillId="0" borderId="11" xfId="0" applyNumberFormat="1" applyFont="1" applyBorder="1"/>
    <xf numFmtId="0" fontId="16" fillId="0" borderId="11" xfId="0" applyFont="1" applyBorder="1" applyAlignment="1">
      <alignment horizontal="center"/>
    </xf>
    <xf numFmtId="0" fontId="0" fillId="0" borderId="0" xfId="0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165" fontId="0" fillId="0" borderId="0" xfId="1" applyNumberFormat="1" applyFont="1"/>
    <xf numFmtId="165" fontId="0" fillId="0" borderId="10" xfId="0" applyNumberFormat="1" applyBorder="1"/>
    <xf numFmtId="1" fontId="16" fillId="0" borderId="14" xfId="0" applyNumberFormat="1" applyFont="1" applyBorder="1"/>
    <xf numFmtId="165" fontId="0" fillId="0" borderId="10" xfId="1" applyNumberFormat="1" applyFont="1" applyBorder="1" applyAlignment="1"/>
    <xf numFmtId="165" fontId="0" fillId="0" borderId="12" xfId="0" applyNumberFormat="1" applyBorder="1"/>
    <xf numFmtId="0" fontId="18" fillId="0" borderId="0" xfId="0" applyFont="1" applyBorder="1"/>
    <xf numFmtId="1" fontId="16" fillId="0" borderId="0" xfId="0" applyNumberFormat="1" applyFont="1" applyFill="1" applyBorder="1"/>
    <xf numFmtId="0" fontId="0" fillId="0" borderId="0" xfId="0"/>
    <xf numFmtId="1" fontId="0" fillId="0" borderId="0" xfId="0" applyNumberFormat="1"/>
    <xf numFmtId="165" fontId="0" fillId="0" borderId="10" xfId="1" applyNumberFormat="1" applyFont="1" applyFill="1" applyBorder="1"/>
    <xf numFmtId="0" fontId="16" fillId="0" borderId="0" xfId="0" applyFont="1" applyBorder="1" applyAlignment="1">
      <alignment horizontal="center"/>
    </xf>
    <xf numFmtId="166" fontId="0" fillId="0" borderId="0" xfId="0" applyNumberFormat="1" applyBorder="1"/>
    <xf numFmtId="0" fontId="16" fillId="33" borderId="11" xfId="0" applyFont="1" applyFill="1" applyBorder="1" applyAlignment="1">
      <alignment horizontal="center"/>
    </xf>
    <xf numFmtId="165" fontId="0" fillId="33" borderId="10" xfId="1" applyNumberFormat="1" applyFont="1" applyFill="1" applyBorder="1"/>
    <xf numFmtId="167" fontId="0" fillId="0" borderId="0" xfId="0" applyNumberFormat="1"/>
    <xf numFmtId="1" fontId="0" fillId="0" borderId="0" xfId="0" applyNumberFormat="1" applyFont="1" applyFill="1" applyBorder="1"/>
    <xf numFmtId="0" fontId="19" fillId="0" borderId="0" xfId="0" applyFont="1"/>
    <xf numFmtId="1" fontId="0" fillId="0" borderId="12" xfId="0" applyNumberFormat="1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165" fontId="0" fillId="0" borderId="15" xfId="0" applyNumberFormat="1" applyFill="1" applyBorder="1"/>
    <xf numFmtId="1" fontId="16" fillId="0" borderId="16" xfId="0" applyNumberFormat="1" applyFont="1" applyBorder="1"/>
    <xf numFmtId="165" fontId="0" fillId="0" borderId="17" xfId="1" applyNumberFormat="1" applyFont="1" applyBorder="1"/>
    <xf numFmtId="1" fontId="16" fillId="0" borderId="18" xfId="0" applyNumberFormat="1" applyFont="1" applyBorder="1"/>
    <xf numFmtId="165" fontId="0" fillId="0" borderId="11" xfId="1" applyNumberFormat="1" applyFont="1" applyBorder="1"/>
    <xf numFmtId="165" fontId="0" fillId="0" borderId="19" xfId="1" applyNumberFormat="1" applyFont="1" applyBorder="1"/>
    <xf numFmtId="1" fontId="16" fillId="0" borderId="20" xfId="0" applyNumberFormat="1" applyFont="1" applyBorder="1"/>
    <xf numFmtId="165" fontId="0" fillId="0" borderId="21" xfId="1" applyNumberFormat="1" applyFont="1" applyBorder="1"/>
    <xf numFmtId="1" fontId="16" fillId="0" borderId="22" xfId="0" applyNumberFormat="1" applyFont="1" applyFill="1" applyBorder="1"/>
    <xf numFmtId="0" fontId="16" fillId="0" borderId="23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165" fontId="0" fillId="0" borderId="0" xfId="1" applyNumberFormat="1" applyFont="1" applyFill="1" applyBorder="1"/>
    <xf numFmtId="165" fontId="0" fillId="34" borderId="0" xfId="1" applyNumberFormat="1" applyFont="1" applyFill="1"/>
    <xf numFmtId="165" fontId="0" fillId="0" borderId="0" xfId="0" applyNumberFormat="1"/>
    <xf numFmtId="0" fontId="0" fillId="0" borderId="25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/>
    <xf numFmtId="165" fontId="0" fillId="0" borderId="15" xfId="1" applyNumberFormat="1" applyFont="1" applyBorder="1"/>
    <xf numFmtId="168" fontId="21" fillId="0" borderId="28" xfId="44" applyNumberFormat="1" applyFont="1" applyFill="1" applyBorder="1" applyAlignment="1">
      <alignment horizontal="left"/>
    </xf>
    <xf numFmtId="168" fontId="21" fillId="0" borderId="12" xfId="44" applyNumberFormat="1" applyFont="1" applyFill="1" applyBorder="1" applyAlignment="1">
      <alignment horizontal="left"/>
    </xf>
    <xf numFmtId="0" fontId="0" fillId="0" borderId="29" xfId="0" applyBorder="1"/>
    <xf numFmtId="165" fontId="0" fillId="0" borderId="30" xfId="1" applyNumberFormat="1" applyFont="1" applyBorder="1"/>
    <xf numFmtId="0" fontId="0" fillId="36" borderId="31" xfId="0" applyFill="1" applyBorder="1"/>
    <xf numFmtId="165" fontId="0" fillId="36" borderId="15" xfId="1" applyNumberFormat="1" applyFont="1" applyFill="1" applyBorder="1"/>
    <xf numFmtId="168" fontId="21" fillId="35" borderId="28" xfId="44" applyNumberFormat="1" applyFont="1" applyFill="1" applyBorder="1" applyAlignment="1">
      <alignment horizontal="left"/>
    </xf>
    <xf numFmtId="168" fontId="21" fillId="35" borderId="12" xfId="44" applyNumberFormat="1" applyFont="1" applyFill="1" applyBorder="1" applyAlignment="1">
      <alignment horizontal="left"/>
    </xf>
    <xf numFmtId="0" fontId="0" fillId="36" borderId="29" xfId="0" applyFill="1" applyBorder="1"/>
    <xf numFmtId="165" fontId="0" fillId="36" borderId="30" xfId="1" applyNumberFormat="1" applyFont="1" applyFill="1" applyBorder="1"/>
    <xf numFmtId="168" fontId="23" fillId="0" borderId="28" xfId="45" applyNumberFormat="1" applyFont="1" applyBorder="1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8" fontId="21" fillId="0" borderId="0" xfId="44" applyNumberFormat="1" applyFont="1" applyFill="1" applyBorder="1" applyAlignment="1">
      <alignment horizontal="left"/>
    </xf>
    <xf numFmtId="0" fontId="16" fillId="0" borderId="0" xfId="0" applyFont="1"/>
    <xf numFmtId="165" fontId="16" fillId="0" borderId="0" xfId="0" applyNumberFormat="1" applyFont="1" applyAlignment="1">
      <alignment horizontal="center"/>
    </xf>
    <xf numFmtId="165" fontId="0" fillId="37" borderId="0" xfId="0" applyNumberFormat="1" applyFill="1"/>
    <xf numFmtId="0" fontId="0" fillId="37" borderId="0" xfId="0" applyFill="1"/>
    <xf numFmtId="43" fontId="0" fillId="37" borderId="0" xfId="0" applyNumberFormat="1" applyFill="1"/>
    <xf numFmtId="165" fontId="0" fillId="0" borderId="0" xfId="0" applyNumberFormat="1" applyBorder="1"/>
    <xf numFmtId="0" fontId="16" fillId="0" borderId="22" xfId="0" applyFont="1" applyFill="1" applyBorder="1" applyAlignment="1">
      <alignment horizontal="center"/>
    </xf>
    <xf numFmtId="0" fontId="16" fillId="0" borderId="23" xfId="0" applyFont="1" applyBorder="1" applyAlignment="1">
      <alignment horizontal="center" wrapText="1"/>
    </xf>
    <xf numFmtId="0" fontId="16" fillId="0" borderId="24" xfId="0" applyFont="1" applyBorder="1" applyAlignment="1">
      <alignment horizontal="center" wrapText="1"/>
    </xf>
    <xf numFmtId="1" fontId="16" fillId="0" borderId="32" xfId="0" applyNumberFormat="1" applyFont="1" applyBorder="1"/>
    <xf numFmtId="165" fontId="0" fillId="0" borderId="21" xfId="0" applyNumberFormat="1" applyBorder="1"/>
    <xf numFmtId="165" fontId="0" fillId="0" borderId="17" xfId="0" applyNumberFormat="1" applyBorder="1"/>
    <xf numFmtId="165" fontId="0" fillId="0" borderId="11" xfId="0" applyNumberFormat="1" applyBorder="1"/>
    <xf numFmtId="165" fontId="0" fillId="0" borderId="19" xfId="0" applyNumberFormat="1" applyBorder="1"/>
    <xf numFmtId="165" fontId="0" fillId="0" borderId="0" xfId="1" applyNumberFormat="1" applyFont="1" applyFill="1"/>
    <xf numFmtId="1" fontId="19" fillId="0" borderId="15" xfId="0" applyNumberFormat="1" applyFont="1" applyFill="1" applyBorder="1"/>
    <xf numFmtId="0" fontId="16" fillId="0" borderId="0" xfId="0" applyFont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18" xfId="0" applyFont="1" applyBorder="1"/>
    <xf numFmtId="0" fontId="16" fillId="0" borderId="22" xfId="0" applyFont="1" applyBorder="1" applyAlignment="1">
      <alignment horizontal="center"/>
    </xf>
    <xf numFmtId="0" fontId="0" fillId="0" borderId="20" xfId="0" applyBorder="1"/>
    <xf numFmtId="0" fontId="0" fillId="0" borderId="18" xfId="0" applyBorder="1"/>
    <xf numFmtId="0" fontId="0" fillId="0" borderId="11" xfId="0" applyBorder="1"/>
    <xf numFmtId="0" fontId="0" fillId="0" borderId="19" xfId="0" applyBorder="1"/>
    <xf numFmtId="9" fontId="0" fillId="0" borderId="12" xfId="43" applyFont="1" applyBorder="1"/>
    <xf numFmtId="9" fontId="0" fillId="0" borderId="21" xfId="43" applyFont="1" applyBorder="1"/>
    <xf numFmtId="0" fontId="16" fillId="0" borderId="22" xfId="0" applyFont="1" applyBorder="1"/>
    <xf numFmtId="0" fontId="16" fillId="0" borderId="23" xfId="0" applyFont="1" applyBorder="1"/>
    <xf numFmtId="0" fontId="16" fillId="0" borderId="24" xfId="0" applyFont="1" applyBorder="1"/>
    <xf numFmtId="165" fontId="16" fillId="0" borderId="23" xfId="0" applyNumberFormat="1" applyFont="1" applyBorder="1"/>
    <xf numFmtId="165" fontId="16" fillId="0" borderId="24" xfId="0" applyNumberFormat="1" applyFont="1" applyBorder="1"/>
    <xf numFmtId="0" fontId="0" fillId="0" borderId="20" xfId="0" applyFont="1" applyBorder="1"/>
    <xf numFmtId="9" fontId="0" fillId="0" borderId="11" xfId="0" applyNumberFormat="1" applyBorder="1"/>
    <xf numFmtId="9" fontId="0" fillId="0" borderId="19" xfId="0" applyNumberFormat="1" applyBorder="1"/>
    <xf numFmtId="0" fontId="16" fillId="0" borderId="37" xfId="0" applyFont="1" applyBorder="1" applyAlignment="1">
      <alignment horizontal="center" wrapText="1"/>
    </xf>
    <xf numFmtId="165" fontId="0" fillId="0" borderId="30" xfId="0" applyNumberFormat="1" applyBorder="1"/>
    <xf numFmtId="165" fontId="0" fillId="0" borderId="38" xfId="0" applyNumberFormat="1" applyBorder="1"/>
    <xf numFmtId="165" fontId="0" fillId="0" borderId="39" xfId="0" applyNumberFormat="1" applyBorder="1"/>
    <xf numFmtId="0" fontId="16" fillId="0" borderId="40" xfId="0" applyFont="1" applyBorder="1" applyAlignment="1">
      <alignment horizontal="center" wrapText="1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43" xfId="0" applyNumberFormat="1" applyBorder="1"/>
    <xf numFmtId="1" fontId="0" fillId="0" borderId="10" xfId="0" applyNumberFormat="1" applyFont="1" applyFill="1" applyBorder="1" applyAlignment="1">
      <alignment horizontal="center"/>
    </xf>
    <xf numFmtId="1" fontId="16" fillId="0" borderId="22" xfId="0" applyNumberFormat="1" applyFont="1" applyBorder="1" applyAlignment="1">
      <alignment horizontal="center"/>
    </xf>
    <xf numFmtId="1" fontId="16" fillId="0" borderId="23" xfId="0" applyNumberFormat="1" applyFont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165" fontId="0" fillId="0" borderId="17" xfId="1" applyNumberFormat="1" applyFont="1" applyFill="1" applyBorder="1"/>
    <xf numFmtId="1" fontId="16" fillId="0" borderId="16" xfId="0" applyNumberFormat="1" applyFont="1" applyFill="1" applyBorder="1"/>
    <xf numFmtId="1" fontId="0" fillId="0" borderId="11" xfId="0" applyNumberFormat="1" applyFont="1" applyBorder="1" applyAlignment="1">
      <alignment horizontal="center"/>
    </xf>
    <xf numFmtId="165" fontId="0" fillId="0" borderId="11" xfId="1" applyNumberFormat="1" applyFont="1" applyFill="1" applyBorder="1"/>
    <xf numFmtId="169" fontId="0" fillId="0" borderId="0" xfId="43" applyNumberFormat="1" applyFont="1"/>
    <xf numFmtId="0" fontId="0" fillId="38" borderId="0" xfId="0" applyFill="1"/>
    <xf numFmtId="165" fontId="0" fillId="38" borderId="0" xfId="0" applyNumberFormat="1" applyFill="1"/>
    <xf numFmtId="0" fontId="16" fillId="0" borderId="0" xfId="0" applyFont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" fontId="24" fillId="0" borderId="0" xfId="0" applyNumberFormat="1" applyFont="1" applyFill="1" applyBorder="1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Econ Stats" xfId="44"/>
    <cellStyle name="Normal_res report data" xfId="45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MK Average Daily Attendance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3127230971128607"/>
                  <c:y val="0.58760389326334206"/>
                </c:manualLayout>
              </c:layout>
              <c:numFmt formatCode="General" sourceLinked="0"/>
            </c:trendlineLbl>
          </c:trendline>
          <c:cat>
            <c:numRef>
              <c:f>MK_Growth!$C$2:$C$56</c:f>
              <c:numCache>
                <c:formatCode>General</c:formatCode>
                <c:ptCount val="55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  <c:pt idx="33">
                  <c:v>2024</c:v>
                </c:pt>
                <c:pt idx="34">
                  <c:v>2025</c:v>
                </c:pt>
                <c:pt idx="35">
                  <c:v>2026</c:v>
                </c:pt>
                <c:pt idx="36">
                  <c:v>2027</c:v>
                </c:pt>
                <c:pt idx="37">
                  <c:v>2028</c:v>
                </c:pt>
                <c:pt idx="38">
                  <c:v>2029</c:v>
                </c:pt>
                <c:pt idx="39">
                  <c:v>2030</c:v>
                </c:pt>
                <c:pt idx="40">
                  <c:v>2031</c:v>
                </c:pt>
                <c:pt idx="41">
                  <c:v>2032</c:v>
                </c:pt>
                <c:pt idx="42">
                  <c:v>2033</c:v>
                </c:pt>
                <c:pt idx="43">
                  <c:v>2034</c:v>
                </c:pt>
                <c:pt idx="44">
                  <c:v>2035</c:v>
                </c:pt>
                <c:pt idx="45">
                  <c:v>2036</c:v>
                </c:pt>
                <c:pt idx="46">
                  <c:v>2037</c:v>
                </c:pt>
                <c:pt idx="47">
                  <c:v>2038</c:v>
                </c:pt>
                <c:pt idx="48">
                  <c:v>2039</c:v>
                </c:pt>
                <c:pt idx="49">
                  <c:v>2040</c:v>
                </c:pt>
                <c:pt idx="50">
                  <c:v>2041</c:v>
                </c:pt>
                <c:pt idx="51">
                  <c:v>2042</c:v>
                </c:pt>
                <c:pt idx="52">
                  <c:v>2043</c:v>
                </c:pt>
                <c:pt idx="53">
                  <c:v>2044</c:v>
                </c:pt>
                <c:pt idx="54">
                  <c:v>2045</c:v>
                </c:pt>
              </c:numCache>
            </c:numRef>
          </c:cat>
          <c:val>
            <c:numRef>
              <c:f>MK_Growth!$D$2:$D$56</c:f>
              <c:numCache>
                <c:formatCode>_(* #,##0_);_(* \(#,##0\);_(* "-"??_);_(@_)</c:formatCode>
                <c:ptCount val="55"/>
                <c:pt idx="0">
                  <c:v>49315</c:v>
                </c:pt>
                <c:pt idx="1">
                  <c:v>31420</c:v>
                </c:pt>
                <c:pt idx="2">
                  <c:v>32876</c:v>
                </c:pt>
                <c:pt idx="3">
                  <c:v>30684</c:v>
                </c:pt>
                <c:pt idx="4">
                  <c:v>35342</c:v>
                </c:pt>
                <c:pt idx="5">
                  <c:v>37704</c:v>
                </c:pt>
                <c:pt idx="6">
                  <c:v>46575</c:v>
                </c:pt>
                <c:pt idx="7">
                  <c:v>42849</c:v>
                </c:pt>
                <c:pt idx="8">
                  <c:v>41643</c:v>
                </c:pt>
                <c:pt idx="9">
                  <c:v>42076</c:v>
                </c:pt>
                <c:pt idx="10">
                  <c:v>40273</c:v>
                </c:pt>
                <c:pt idx="11">
                  <c:v>38356</c:v>
                </c:pt>
                <c:pt idx="12">
                  <c:v>38465</c:v>
                </c:pt>
                <c:pt idx="13">
                  <c:v>41256</c:v>
                </c:pt>
                <c:pt idx="14">
                  <c:v>44383</c:v>
                </c:pt>
                <c:pt idx="15">
                  <c:v>45479</c:v>
                </c:pt>
                <c:pt idx="16">
                  <c:v>46575</c:v>
                </c:pt>
                <c:pt idx="17">
                  <c:v>46448</c:v>
                </c:pt>
                <c:pt idx="18">
                  <c:v>47123</c:v>
                </c:pt>
                <c:pt idx="19">
                  <c:v>46301</c:v>
                </c:pt>
                <c:pt idx="20">
                  <c:v>46849</c:v>
                </c:pt>
                <c:pt idx="21">
                  <c:v>50786.885245901642</c:v>
                </c:pt>
                <c:pt idx="22">
                  <c:v>48043.835616438359</c:v>
                </c:pt>
                <c:pt idx="23">
                  <c:v>52964.383561643837</c:v>
                </c:pt>
                <c:pt idx="24">
                  <c:v>56142.465753424658</c:v>
                </c:pt>
                <c:pt idx="25">
                  <c:v>52549.463387155098</c:v>
                </c:pt>
                <c:pt idx="26">
                  <c:v>53394.677435670201</c:v>
                </c:pt>
                <c:pt idx="27">
                  <c:v>54253.486043325604</c:v>
                </c:pt>
                <c:pt idx="28">
                  <c:v>55126.107867203798</c:v>
                </c:pt>
                <c:pt idx="29">
                  <c:v>56012.7650813039</c:v>
                </c:pt>
                <c:pt idx="30">
                  <c:v>56913.6834331071</c:v>
                </c:pt>
                <c:pt idx="31">
                  <c:v>57829.0923010529</c:v>
                </c:pt>
                <c:pt idx="32">
                  <c:v>58759.224752941402</c:v>
                </c:pt>
                <c:pt idx="33">
                  <c:v>59704.317605272699</c:v>
                </c:pt>
                <c:pt idx="34">
                  <c:v>60664.611483541397</c:v>
                </c:pt>
                <c:pt idx="35">
                  <c:v>61640.350883501203</c:v>
                </c:pt>
                <c:pt idx="36">
                  <c:v>62631.784233415397</c:v>
                </c:pt>
                <c:pt idx="37">
                  <c:v>63639.163957307697</c:v>
                </c:pt>
                <c:pt idx="38">
                  <c:v>64662.7465392304</c:v>
                </c:pt>
                <c:pt idx="39">
                  <c:v>65702.792588566299</c:v>
                </c:pt>
                <c:pt idx="40">
                  <c:v>66759.566906381398</c:v>
                </c:pt>
                <c:pt idx="41">
                  <c:v>67833.338552846006</c:v>
                </c:pt>
                <c:pt idx="42">
                  <c:v>68924.380915736503</c:v>
                </c:pt>
                <c:pt idx="43">
                  <c:v>70032.971780042499</c:v>
                </c:pt>
                <c:pt idx="44">
                  <c:v>71159.393398692395</c:v>
                </c:pt>
                <c:pt idx="45">
                  <c:v>72303.932564416406</c:v>
                </c:pt>
                <c:pt idx="46">
                  <c:v>73466.880682765201</c:v>
                </c:pt>
                <c:pt idx="47">
                  <c:v>74648.533846303006</c:v>
                </c:pt>
                <c:pt idx="48">
                  <c:v>75849.192909995298</c:v>
                </c:pt>
                <c:pt idx="49">
                  <c:v>77069.163567806507</c:v>
                </c:pt>
                <c:pt idx="50">
                  <c:v>78308.756430533002</c:v>
                </c:pt>
                <c:pt idx="51">
                  <c:v>79568.287104884206</c:v>
                </c:pt>
                <c:pt idx="52">
                  <c:v>80848.076273840095</c:v>
                </c:pt>
                <c:pt idx="53">
                  <c:v>82148.449778296505</c:v>
                </c:pt>
                <c:pt idx="54">
                  <c:v>83469.738700027505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CE-4D65-86DD-BB9AD565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35744"/>
        <c:axId val="233545728"/>
      </c:lineChart>
      <c:catAx>
        <c:axId val="2335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545728"/>
        <c:crosses val="autoZero"/>
        <c:auto val="1"/>
        <c:lblAlgn val="ctr"/>
        <c:lblOffset val="100"/>
        <c:noMultiLvlLbl val="0"/>
      </c:catAx>
      <c:valAx>
        <c:axId val="23354572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335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OCCC_Attendance!$E$2:$E$13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OCCC_Attendance!$F$2:$F$13</c:f>
              <c:numCache>
                <c:formatCode>_(* #,##0_);_(* \(#,##0\);_(* "-"??_);_(@_)</c:formatCode>
                <c:ptCount val="12"/>
                <c:pt idx="0">
                  <c:v>156460.16666666666</c:v>
                </c:pt>
                <c:pt idx="1">
                  <c:v>129465</c:v>
                </c:pt>
                <c:pt idx="2">
                  <c:v>136133.16666666666</c:v>
                </c:pt>
                <c:pt idx="3">
                  <c:v>118528</c:v>
                </c:pt>
                <c:pt idx="4">
                  <c:v>70265.833333333328</c:v>
                </c:pt>
                <c:pt idx="5">
                  <c:v>142800.33333333334</c:v>
                </c:pt>
                <c:pt idx="6">
                  <c:v>53492.666666666664</c:v>
                </c:pt>
                <c:pt idx="7">
                  <c:v>55551.666666666664</c:v>
                </c:pt>
                <c:pt idx="8">
                  <c:v>90734.166666666672</c:v>
                </c:pt>
                <c:pt idx="9">
                  <c:v>117985.16666666667</c:v>
                </c:pt>
                <c:pt idx="10">
                  <c:v>129645.16666666667</c:v>
                </c:pt>
                <c:pt idx="11">
                  <c:v>77636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EB-4E54-91F7-B6581AAF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53312"/>
        <c:axId val="234279680"/>
      </c:barChart>
      <c:catAx>
        <c:axId val="23425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4279680"/>
        <c:crosses val="autoZero"/>
        <c:auto val="1"/>
        <c:lblAlgn val="ctr"/>
        <c:lblOffset val="100"/>
        <c:noMultiLvlLbl val="0"/>
      </c:catAx>
      <c:valAx>
        <c:axId val="23427968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3425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OCCC_Attendance!$H$2:$H$7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OCCC_Attendance!$I$2:$I$7</c:f>
              <c:numCache>
                <c:formatCode>_(* #,##0_);_(* \(#,##0\);_(* "-"??_);_(@_)</c:formatCode>
                <c:ptCount val="6"/>
                <c:pt idx="0">
                  <c:v>1178413</c:v>
                </c:pt>
                <c:pt idx="1">
                  <c:v>1210956</c:v>
                </c:pt>
                <c:pt idx="2">
                  <c:v>1309481</c:v>
                </c:pt>
                <c:pt idx="3">
                  <c:v>1252762</c:v>
                </c:pt>
                <c:pt idx="4">
                  <c:v>1347572</c:v>
                </c:pt>
                <c:pt idx="5">
                  <c:v>1373000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5F-42D8-9BA0-8FD6FD124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115456"/>
        <c:axId val="234116992"/>
      </c:barChart>
      <c:catAx>
        <c:axId val="2341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116992"/>
        <c:crosses val="autoZero"/>
        <c:auto val="0"/>
        <c:lblAlgn val="ctr"/>
        <c:lblOffset val="100"/>
        <c:noMultiLvlLbl val="0"/>
      </c:catAx>
      <c:valAx>
        <c:axId val="23411699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341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1</xdr:row>
      <xdr:rowOff>11430</xdr:rowOff>
    </xdr:from>
    <xdr:to>
      <xdr:col>13</xdr:col>
      <xdr:colOff>327660</xdr:colOff>
      <xdr:row>18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1</xdr:row>
      <xdr:rowOff>80010</xdr:rowOff>
    </xdr:from>
    <xdr:to>
      <xdr:col>17</xdr:col>
      <xdr:colOff>601980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297180</xdr:colOff>
      <xdr:row>17</xdr:row>
      <xdr:rowOff>80010</xdr:rowOff>
    </xdr:from>
    <xdr:to>
      <xdr:col>17</xdr:col>
      <xdr:colOff>601980</xdr:colOff>
      <xdr:row>32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541362</xdr:colOff>
      <xdr:row>8</xdr:row>
      <xdr:rowOff>38214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3939882" cy="1318374"/>
        </a:xfrm>
        <a:prstGeom prst="rect">
          <a:avLst/>
        </a:prstGeom>
      </xdr:spPr>
    </xdr:pic>
    <xdr:clientData/>
  </xdr:twoCellAnchor>
  <xdr:twoCellAnchor editAs="oneCell">
    <xdr:from>
      <xdr:col>7</xdr:col>
      <xdr:colOff>312420</xdr:colOff>
      <xdr:row>0</xdr:row>
      <xdr:rowOff>99060</xdr:rowOff>
    </xdr:from>
    <xdr:to>
      <xdr:col>15</xdr:col>
      <xdr:colOff>60960</xdr:colOff>
      <xdr:row>25</xdr:row>
      <xdr:rowOff>27289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7360" y="99060"/>
          <a:ext cx="4625340" cy="4518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/>
  </sheetViews>
  <sheetFormatPr defaultColWidth="9.109375" defaultRowHeight="14.4" x14ac:dyDescent="0.3"/>
  <cols>
    <col min="1" max="1" width="9.109375" style="33"/>
    <col min="2" max="2" width="39.6640625" style="33" bestFit="1" customWidth="1"/>
    <col min="3" max="3" width="11.109375" style="33" bestFit="1" customWidth="1"/>
    <col min="4" max="4" width="9.109375" style="33"/>
    <col min="5" max="5" width="10.109375" style="33" bestFit="1" customWidth="1"/>
    <col min="6" max="6" width="11.109375" style="33" bestFit="1" customWidth="1"/>
    <col min="7" max="16384" width="9.109375" style="33"/>
  </cols>
  <sheetData>
    <row r="2" spans="2:10" ht="15" thickBot="1" x14ac:dyDescent="0.35">
      <c r="B2" s="21" t="s">
        <v>44</v>
      </c>
      <c r="C2" s="38">
        <v>2010</v>
      </c>
      <c r="D2" s="22">
        <v>2015</v>
      </c>
      <c r="E2" s="22">
        <v>2020</v>
      </c>
      <c r="F2" s="22">
        <v>2025</v>
      </c>
      <c r="G2" s="22">
        <v>2030</v>
      </c>
      <c r="H2" s="22">
        <v>2035</v>
      </c>
      <c r="I2" s="22">
        <v>2040</v>
      </c>
      <c r="J2" s="22">
        <v>2045</v>
      </c>
    </row>
    <row r="3" spans="2:10" x14ac:dyDescent="0.3">
      <c r="B3" s="19" t="s">
        <v>10</v>
      </c>
      <c r="C3" s="39">
        <f ca="1">'2015_TEA'!C4</f>
        <v>86786</v>
      </c>
      <c r="D3" s="35">
        <v>103241</v>
      </c>
      <c r="E3" s="18">
        <v>125935</v>
      </c>
      <c r="F3" s="18">
        <v>148629.5</v>
      </c>
      <c r="G3" s="18">
        <v>171324</v>
      </c>
      <c r="H3" s="18">
        <v>194018.25</v>
      </c>
      <c r="I3" s="18">
        <v>216712.6</v>
      </c>
      <c r="J3" s="18">
        <v>239406.95</v>
      </c>
    </row>
    <row r="4" spans="2:10" x14ac:dyDescent="0.3">
      <c r="B4" s="17" t="s">
        <v>45</v>
      </c>
      <c r="C4" s="39">
        <f ca="1">'2015_TEA'!C5</f>
        <v>0</v>
      </c>
      <c r="D4" s="35"/>
      <c r="E4" s="18"/>
      <c r="F4" s="18"/>
      <c r="G4" s="18"/>
      <c r="H4" s="18"/>
      <c r="I4" s="18"/>
      <c r="J4" s="18"/>
    </row>
    <row r="5" spans="2:10" x14ac:dyDescent="0.3">
      <c r="B5" s="17" t="s">
        <v>12</v>
      </c>
      <c r="C5" s="39">
        <f ca="1">'2015_TEA'!C6</f>
        <v>3409.0191534346068</v>
      </c>
      <c r="D5" s="35">
        <f>'2015_TEA'!D31</f>
        <v>7734.6191780821919</v>
      </c>
      <c r="E5" s="18">
        <f t="shared" ref="E5:J5" si="0">(((E3/D3)-1)+1)*D5</f>
        <v>9434.8104550690205</v>
      </c>
      <c r="F5" s="18">
        <f t="shared" si="0"/>
        <v>11135.03919110399</v>
      </c>
      <c r="G5" s="18">
        <f t="shared" si="0"/>
        <v>12835.267927138961</v>
      </c>
      <c r="H5" s="18">
        <f t="shared" si="0"/>
        <v>14535.47793364986</v>
      </c>
      <c r="I5" s="18">
        <f t="shared" si="0"/>
        <v>16235.695431970387</v>
      </c>
      <c r="J5" s="18">
        <f t="shared" si="0"/>
        <v>17935.912930290917</v>
      </c>
    </row>
    <row r="6" spans="2:10" x14ac:dyDescent="0.3">
      <c r="B6" s="17" t="s">
        <v>46</v>
      </c>
      <c r="C6" s="39">
        <f ca="1">'2015_TEA'!C7</f>
        <v>3048.0383808119691</v>
      </c>
      <c r="D6" s="35"/>
      <c r="E6" s="18"/>
      <c r="F6" s="18"/>
      <c r="G6" s="18"/>
      <c r="H6" s="18"/>
      <c r="I6" s="18"/>
      <c r="J6" s="18"/>
    </row>
    <row r="7" spans="2:10" x14ac:dyDescent="0.3">
      <c r="B7" s="17" t="s">
        <v>14</v>
      </c>
      <c r="C7" s="39">
        <f ca="1">'2015_TEA'!C8</f>
        <v>65063.013698630137</v>
      </c>
      <c r="D7" s="35">
        <f>Scratch!D12</f>
        <v>100695.89041095891</v>
      </c>
      <c r="E7" s="18">
        <f>D7*(1+(0.0165*5))</f>
        <v>109003.30136986302</v>
      </c>
      <c r="F7" s="18">
        <f t="shared" ref="F7:J9" si="1">E7*(1+(0.0165*5))</f>
        <v>117996.07373287673</v>
      </c>
      <c r="G7" s="18">
        <f t="shared" si="1"/>
        <v>127730.74981583907</v>
      </c>
      <c r="H7" s="18">
        <f t="shared" si="1"/>
        <v>138268.5366756458</v>
      </c>
      <c r="I7" s="18">
        <f t="shared" si="1"/>
        <v>149675.69095138658</v>
      </c>
      <c r="J7" s="18">
        <f t="shared" si="1"/>
        <v>162023.93545487599</v>
      </c>
    </row>
    <row r="8" spans="2:10" x14ac:dyDescent="0.3">
      <c r="B8" s="17" t="s">
        <v>15</v>
      </c>
      <c r="C8" s="39" t="e">
        <f>'2015_TEA'!#REF!</f>
        <v>#REF!</v>
      </c>
      <c r="D8" s="35"/>
      <c r="E8" s="18"/>
      <c r="F8" s="18"/>
      <c r="G8" s="18"/>
      <c r="H8" s="18"/>
      <c r="I8" s="18"/>
      <c r="J8" s="18"/>
    </row>
    <row r="9" spans="2:10" x14ac:dyDescent="0.3">
      <c r="B9" s="17" t="s">
        <v>32</v>
      </c>
      <c r="C9" s="39">
        <f ca="1">'2015_TEA'!C9</f>
        <v>36164.383561643837</v>
      </c>
      <c r="D9" s="35">
        <f>Scratch!D13</f>
        <v>44354.230459307015</v>
      </c>
      <c r="E9" s="18">
        <f>D9*(1+(0.0165*5))</f>
        <v>48013.454472199846</v>
      </c>
      <c r="F9" s="18">
        <f t="shared" si="1"/>
        <v>51974.564466156335</v>
      </c>
      <c r="G9" s="18">
        <f t="shared" si="1"/>
        <v>56262.466034614234</v>
      </c>
      <c r="H9" s="18">
        <f t="shared" si="1"/>
        <v>60904.119482469912</v>
      </c>
      <c r="I9" s="18">
        <f t="shared" si="1"/>
        <v>65928.709339773675</v>
      </c>
      <c r="J9" s="18">
        <f t="shared" si="1"/>
        <v>71367.827860304998</v>
      </c>
    </row>
    <row r="10" spans="2:10" x14ac:dyDescent="0.3">
      <c r="B10" s="17" t="s">
        <v>35</v>
      </c>
      <c r="C10" s="39">
        <f>1300*2</f>
        <v>2600</v>
      </c>
      <c r="D10" s="35">
        <f>1300*2</f>
        <v>2600</v>
      </c>
      <c r="E10" s="18">
        <f t="shared" ref="E10:J11" si="2">$D10</f>
        <v>2600</v>
      </c>
      <c r="F10" s="18">
        <f t="shared" si="2"/>
        <v>2600</v>
      </c>
      <c r="G10" s="18">
        <f t="shared" si="2"/>
        <v>2600</v>
      </c>
      <c r="H10" s="18">
        <f t="shared" si="2"/>
        <v>2600</v>
      </c>
      <c r="I10" s="18">
        <f t="shared" si="2"/>
        <v>2600</v>
      </c>
      <c r="J10" s="18">
        <f t="shared" si="2"/>
        <v>2600</v>
      </c>
    </row>
    <row r="11" spans="2:10" x14ac:dyDescent="0.3">
      <c r="B11" s="17" t="s">
        <v>16</v>
      </c>
      <c r="C11" s="39">
        <f ca="1">'2015_TEA'!C10</f>
        <v>11988.235294117647</v>
      </c>
      <c r="D11" s="35">
        <f>Scratch!D14</f>
        <v>13494.117647058823</v>
      </c>
      <c r="E11" s="18">
        <f t="shared" si="2"/>
        <v>13494.117647058823</v>
      </c>
      <c r="F11" s="18">
        <f t="shared" si="2"/>
        <v>13494.117647058823</v>
      </c>
      <c r="G11" s="18">
        <f t="shared" si="2"/>
        <v>13494.117647058823</v>
      </c>
      <c r="H11" s="18">
        <f t="shared" si="2"/>
        <v>13494.117647058823</v>
      </c>
      <c r="I11" s="18">
        <f t="shared" si="2"/>
        <v>13494.117647058823</v>
      </c>
      <c r="J11" s="18">
        <f t="shared" si="2"/>
        <v>13494.117647058823</v>
      </c>
    </row>
    <row r="12" spans="2:10" x14ac:dyDescent="0.3">
      <c r="B12" s="17" t="s">
        <v>17</v>
      </c>
      <c r="C12" s="39" t="e">
        <f>'2015_TEA'!#REF!</f>
        <v>#REF!</v>
      </c>
      <c r="D12" s="35" t="e">
        <f>'2015_TEA'!#REF!</f>
        <v>#REF!</v>
      </c>
      <c r="E12" s="18" t="e">
        <f t="shared" ref="E12:J15" si="3">D12*(1+(0.0165*5))</f>
        <v>#REF!</v>
      </c>
      <c r="F12" s="18" t="e">
        <f t="shared" si="3"/>
        <v>#REF!</v>
      </c>
      <c r="G12" s="18" t="e">
        <f t="shared" si="3"/>
        <v>#REF!</v>
      </c>
      <c r="H12" s="18" t="e">
        <f t="shared" si="3"/>
        <v>#REF!</v>
      </c>
      <c r="I12" s="18" t="e">
        <f t="shared" si="3"/>
        <v>#REF!</v>
      </c>
      <c r="J12" s="18" t="e">
        <f t="shared" si="3"/>
        <v>#REF!</v>
      </c>
    </row>
    <row r="13" spans="2:10" x14ac:dyDescent="0.3">
      <c r="B13" s="17" t="s">
        <v>18</v>
      </c>
      <c r="C13" s="39">
        <f ca="1">'2015_TEA'!C12</f>
        <v>52619.178082191778</v>
      </c>
      <c r="D13" s="35">
        <f>Scratch!D15</f>
        <v>59331.506849315068</v>
      </c>
      <c r="E13" s="18">
        <f>D13*(1+(0.0165*5))</f>
        <v>64226.356164383564</v>
      </c>
      <c r="F13" s="18">
        <f t="shared" si="3"/>
        <v>69525.030547945207</v>
      </c>
      <c r="G13" s="18">
        <f t="shared" si="3"/>
        <v>75260.845568150689</v>
      </c>
      <c r="H13" s="18">
        <f t="shared" si="3"/>
        <v>81469.865327523119</v>
      </c>
      <c r="I13" s="18">
        <f t="shared" si="3"/>
        <v>88191.129217043781</v>
      </c>
      <c r="J13" s="18">
        <f t="shared" si="3"/>
        <v>95466.897377449888</v>
      </c>
    </row>
    <row r="14" spans="2:10" x14ac:dyDescent="0.3">
      <c r="B14" s="17" t="s">
        <v>19</v>
      </c>
      <c r="C14" s="39">
        <f ca="1">'2015_TEA'!C13</f>
        <v>53073.972602739726</v>
      </c>
      <c r="D14" s="35">
        <f>Scratch!D16</f>
        <v>59846.575342465752</v>
      </c>
      <c r="E14" s="18">
        <f>D14*(1+(0.0165*5))</f>
        <v>64783.917808219179</v>
      </c>
      <c r="F14" s="18">
        <f t="shared" si="3"/>
        <v>70128.591027397269</v>
      </c>
      <c r="G14" s="18">
        <f t="shared" si="3"/>
        <v>75914.199787157544</v>
      </c>
      <c r="H14" s="18">
        <f t="shared" si="3"/>
        <v>82177.121269598036</v>
      </c>
      <c r="I14" s="18">
        <f t="shared" si="3"/>
        <v>88956.733774339882</v>
      </c>
      <c r="J14" s="18">
        <f t="shared" si="3"/>
        <v>96295.664310722917</v>
      </c>
    </row>
    <row r="15" spans="2:10" x14ac:dyDescent="0.3">
      <c r="B15" s="17" t="s">
        <v>20</v>
      </c>
      <c r="C15" s="39">
        <f ca="1">'2015_TEA'!C14</f>
        <v>59315.068493150684</v>
      </c>
      <c r="D15" s="35">
        <f>Scratch!D17</f>
        <v>64646.575342465752</v>
      </c>
      <c r="E15" s="18">
        <f>D15*(1+(0.0165*5))</f>
        <v>69979.917808219179</v>
      </c>
      <c r="F15" s="18">
        <f t="shared" si="3"/>
        <v>75753.261027397268</v>
      </c>
      <c r="G15" s="18">
        <f t="shared" si="3"/>
        <v>82002.905062157544</v>
      </c>
      <c r="H15" s="18">
        <f t="shared" si="3"/>
        <v>88768.144729785548</v>
      </c>
      <c r="I15" s="18">
        <f t="shared" si="3"/>
        <v>96091.516669992852</v>
      </c>
      <c r="J15" s="18">
        <f t="shared" si="3"/>
        <v>104019.06679526727</v>
      </c>
    </row>
    <row r="16" spans="2:10" x14ac:dyDescent="0.3">
      <c r="B16" s="17" t="s">
        <v>21</v>
      </c>
      <c r="C16" s="39">
        <f ca="1">'2015_TEA'!C15</f>
        <v>11011.764705882353</v>
      </c>
      <c r="D16" s="35">
        <f>Scratch!D18</f>
        <v>12394.117647058823</v>
      </c>
      <c r="E16" s="18">
        <f t="shared" ref="E16:J16" si="4">$D16</f>
        <v>12394.117647058823</v>
      </c>
      <c r="F16" s="18">
        <f t="shared" si="4"/>
        <v>12394.117647058823</v>
      </c>
      <c r="G16" s="18">
        <f t="shared" si="4"/>
        <v>12394.117647058823</v>
      </c>
      <c r="H16" s="18">
        <f t="shared" si="4"/>
        <v>12394.117647058823</v>
      </c>
      <c r="I16" s="18">
        <f t="shared" si="4"/>
        <v>12394.117647058823</v>
      </c>
      <c r="J16" s="18">
        <f t="shared" si="4"/>
        <v>12394.117647058823</v>
      </c>
    </row>
    <row r="17" spans="2:10" x14ac:dyDescent="0.3">
      <c r="B17" s="17" t="s">
        <v>22</v>
      </c>
      <c r="C17" s="39">
        <f ca="1">'2015_TEA'!C16</f>
        <v>92997.260273972599</v>
      </c>
      <c r="D17" s="35">
        <f>Scratch!D19</f>
        <v>112284.93150684932</v>
      </c>
      <c r="E17" s="18">
        <f t="shared" ref="E17:J18" si="5">D17*(1+(0.0165*5))</f>
        <v>121548.43835616439</v>
      </c>
      <c r="F17" s="18">
        <f t="shared" si="5"/>
        <v>131576.18452054795</v>
      </c>
      <c r="G17" s="18">
        <f t="shared" si="5"/>
        <v>142431.21974349316</v>
      </c>
      <c r="H17" s="18">
        <f t="shared" si="5"/>
        <v>154181.79537233134</v>
      </c>
      <c r="I17" s="18">
        <f t="shared" si="5"/>
        <v>166901.79349054868</v>
      </c>
      <c r="J17" s="18">
        <f t="shared" si="5"/>
        <v>180671.19145351896</v>
      </c>
    </row>
    <row r="18" spans="2:10" x14ac:dyDescent="0.3">
      <c r="B18" s="17" t="s">
        <v>23</v>
      </c>
      <c r="C18" s="39">
        <f ca="1">'2015_TEA'!C17</f>
        <v>5090</v>
      </c>
      <c r="D18" s="35">
        <f ca="1">'2015_TEA'!D17</f>
        <v>5090</v>
      </c>
      <c r="E18" s="18">
        <f t="shared" ca="1" si="5"/>
        <v>5509.9250000000002</v>
      </c>
      <c r="F18" s="18">
        <f t="shared" ca="1" si="5"/>
        <v>5964.4938124999999</v>
      </c>
      <c r="G18" s="18">
        <f t="shared" ca="1" si="5"/>
        <v>6456.5645520312501</v>
      </c>
      <c r="H18" s="18">
        <f t="shared" ca="1" si="5"/>
        <v>6989.2311275738284</v>
      </c>
      <c r="I18" s="18">
        <f t="shared" ca="1" si="5"/>
        <v>7565.8426955986697</v>
      </c>
      <c r="J18" s="18">
        <f t="shared" ca="1" si="5"/>
        <v>8190.0247179855605</v>
      </c>
    </row>
    <row r="19" spans="2:10" x14ac:dyDescent="0.3">
      <c r="B19" s="17" t="s">
        <v>24</v>
      </c>
      <c r="C19" s="39">
        <f ca="1">'2015_TEA'!C18</f>
        <v>15336</v>
      </c>
      <c r="D19" s="35">
        <f ca="1">'2015_TEA'!D18</f>
        <v>15336</v>
      </c>
      <c r="E19" s="35">
        <f ca="1">'2015_TEA'!E18</f>
        <v>15336</v>
      </c>
      <c r="F19" s="18">
        <f ca="1">$E$19+11502</f>
        <v>26838</v>
      </c>
      <c r="G19" s="18">
        <f ca="1">$E$19+11502</f>
        <v>26838</v>
      </c>
      <c r="H19" s="18">
        <f ca="1">$E$19+11502</f>
        <v>26838</v>
      </c>
      <c r="I19" s="18">
        <f ca="1">$E$19+11502</f>
        <v>26838</v>
      </c>
      <c r="J19" s="18">
        <f ca="1">$E$19+11502</f>
        <v>26838</v>
      </c>
    </row>
    <row r="20" spans="2:10" x14ac:dyDescent="0.3">
      <c r="B20" s="32" t="s">
        <v>36</v>
      </c>
    </row>
    <row r="21" spans="2:10" x14ac:dyDescent="0.3">
      <c r="B21" s="41" t="s">
        <v>41</v>
      </c>
    </row>
    <row r="22" spans="2:10" x14ac:dyDescent="0.3">
      <c r="B22" s="41" t="s">
        <v>37</v>
      </c>
    </row>
    <row r="23" spans="2:10" x14ac:dyDescent="0.3">
      <c r="B23" s="41" t="s">
        <v>40</v>
      </c>
    </row>
    <row r="24" spans="2:10" x14ac:dyDescent="0.3">
      <c r="B24" s="41" t="s">
        <v>42</v>
      </c>
    </row>
    <row r="25" spans="2:10" x14ac:dyDescent="0.3">
      <c r="B25" s="41" t="s">
        <v>43</v>
      </c>
    </row>
    <row r="26" spans="2:10" x14ac:dyDescent="0.3">
      <c r="B26" s="41" t="s">
        <v>47</v>
      </c>
    </row>
  </sheetData>
  <pageMargins left="0.7" right="0.7" top="0.75" bottom="0.75" header="0.3" footer="0.3"/>
  <ignoredErrors>
    <ignoredError sqref="E16 F16:J1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" sqref="D2:D17"/>
    </sheetView>
  </sheetViews>
  <sheetFormatPr defaultRowHeight="14.4" x14ac:dyDescent="0.3"/>
  <cols>
    <col min="1" max="1" width="32.6640625" bestFit="1" customWidth="1"/>
    <col min="2" max="2" width="9.33203125" bestFit="1" customWidth="1"/>
    <col min="3" max="3" width="10.5546875" bestFit="1" customWidth="1"/>
    <col min="4" max="4" width="11.5546875" bestFit="1" customWidth="1"/>
    <col min="5" max="7" width="8.5546875" bestFit="1" customWidth="1"/>
    <col min="8" max="8" width="8.33203125" bestFit="1" customWidth="1"/>
    <col min="9" max="9" width="8.5546875" bestFit="1" customWidth="1"/>
    <col min="10" max="10" width="7.5546875" bestFit="1" customWidth="1"/>
  </cols>
  <sheetData>
    <row r="1" spans="1:11" x14ac:dyDescent="0.3">
      <c r="A1" s="6" t="s">
        <v>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1" x14ac:dyDescent="0.3">
      <c r="A2" s="6" t="s">
        <v>10</v>
      </c>
      <c r="B2" s="6">
        <v>1</v>
      </c>
      <c r="C2" s="6">
        <v>977</v>
      </c>
      <c r="D2" s="6">
        <f>VLOOKUP(A2,UPDATED_SPECART1!C:L,5,FALSE)</f>
        <v>112038.72413793103</v>
      </c>
      <c r="E2" s="6">
        <v>68</v>
      </c>
      <c r="F2" s="6">
        <v>29</v>
      </c>
      <c r="G2" s="6">
        <v>3</v>
      </c>
      <c r="H2" s="6">
        <v>1</v>
      </c>
      <c r="I2" s="6">
        <v>1</v>
      </c>
      <c r="J2" s="6">
        <v>1</v>
      </c>
    </row>
    <row r="3" spans="1:11" x14ac:dyDescent="0.3">
      <c r="A3" s="6" t="s">
        <v>11</v>
      </c>
      <c r="B3" s="6">
        <v>2</v>
      </c>
      <c r="C3" s="6">
        <v>978</v>
      </c>
      <c r="D3" s="34">
        <f>VLOOKUP(A3,UPDATED_SPECART1!C:L,5,FALSE)</f>
        <v>13896.275862068971</v>
      </c>
      <c r="E3" s="34">
        <v>68</v>
      </c>
      <c r="F3" s="34">
        <v>29</v>
      </c>
      <c r="G3" s="34">
        <v>3</v>
      </c>
      <c r="H3" s="6">
        <v>2</v>
      </c>
      <c r="I3" s="6">
        <v>1</v>
      </c>
      <c r="J3" s="6">
        <v>1</v>
      </c>
      <c r="K3" s="33"/>
    </row>
    <row r="4" spans="1:11" x14ac:dyDescent="0.3">
      <c r="A4" s="6" t="s">
        <v>12</v>
      </c>
      <c r="B4" s="6">
        <v>3</v>
      </c>
      <c r="C4" s="6">
        <v>928</v>
      </c>
      <c r="D4" s="34">
        <f>VLOOKUP(A4,UPDATED_SPECART1!C:L,5,FALSE)</f>
        <v>8017.0675955964434</v>
      </c>
      <c r="E4" s="6">
        <v>34.72</v>
      </c>
      <c r="F4" s="6">
        <v>38.47</v>
      </c>
      <c r="G4" s="6">
        <v>26.81</v>
      </c>
      <c r="H4" s="6">
        <v>0</v>
      </c>
      <c r="I4" s="6">
        <v>2</v>
      </c>
      <c r="J4" s="6">
        <v>2</v>
      </c>
      <c r="K4" s="33"/>
    </row>
    <row r="5" spans="1:11" x14ac:dyDescent="0.3">
      <c r="A5" s="6" t="s">
        <v>13</v>
      </c>
      <c r="B5" s="6">
        <v>4</v>
      </c>
      <c r="C5" s="6">
        <v>927</v>
      </c>
      <c r="D5" s="34">
        <f>VLOOKUP(A5,UPDATED_SPECART1!C:L,5,FALSE)</f>
        <v>7168.1409323623611</v>
      </c>
      <c r="E5" s="6">
        <v>34.72</v>
      </c>
      <c r="F5" s="6">
        <v>38.47</v>
      </c>
      <c r="G5" s="6">
        <v>26.81</v>
      </c>
      <c r="H5" s="6">
        <v>0</v>
      </c>
      <c r="I5" s="6">
        <v>2</v>
      </c>
      <c r="J5" s="6">
        <v>2</v>
      </c>
      <c r="K5" s="33"/>
    </row>
    <row r="6" spans="1:11" x14ac:dyDescent="0.3">
      <c r="A6" s="6" t="s">
        <v>14</v>
      </c>
      <c r="B6" s="6">
        <v>5</v>
      </c>
      <c r="C6" s="6">
        <v>801</v>
      </c>
      <c r="D6" s="34">
        <f>VLOOKUP(A6,UPDATED_SPECART1!C:L,5,FALSE)</f>
        <v>114379.21169334499</v>
      </c>
      <c r="E6" s="6">
        <v>80.569999999999993</v>
      </c>
      <c r="F6" s="6">
        <v>10.92</v>
      </c>
      <c r="G6" s="6">
        <v>8.51</v>
      </c>
      <c r="H6" s="6">
        <v>0</v>
      </c>
      <c r="I6" s="6">
        <v>3</v>
      </c>
      <c r="J6" s="6">
        <v>3</v>
      </c>
      <c r="K6" s="33"/>
    </row>
    <row r="7" spans="1:11" x14ac:dyDescent="0.3">
      <c r="A7" s="6" t="s">
        <v>32</v>
      </c>
      <c r="B7" s="6">
        <v>7</v>
      </c>
      <c r="C7" s="6">
        <v>932</v>
      </c>
      <c r="D7" s="34">
        <f>VLOOKUP(A7,UPDATED_SPECART1!C:L,5,FALSE)</f>
        <v>37016.695935340649</v>
      </c>
      <c r="E7" s="6">
        <v>70.63</v>
      </c>
      <c r="F7" s="6">
        <v>16.98</v>
      </c>
      <c r="G7" s="6">
        <v>12.39</v>
      </c>
      <c r="H7" s="6">
        <v>0</v>
      </c>
      <c r="I7" s="6">
        <v>4</v>
      </c>
      <c r="J7" s="6">
        <v>4</v>
      </c>
      <c r="K7" s="33"/>
    </row>
    <row r="8" spans="1:11" s="33" customFormat="1" x14ac:dyDescent="0.3">
      <c r="A8" s="34" t="s">
        <v>35</v>
      </c>
      <c r="B8" s="34">
        <v>7.6666666666666696</v>
      </c>
      <c r="C8" s="34">
        <v>934</v>
      </c>
      <c r="D8" s="34">
        <f>VLOOKUP(A8,UPDATED_SPECART1!C:L,5,FALSE)</f>
        <v>2600</v>
      </c>
      <c r="E8" s="34">
        <v>70.63</v>
      </c>
      <c r="F8" s="34">
        <v>16.98</v>
      </c>
      <c r="G8" s="34">
        <v>12.39</v>
      </c>
      <c r="H8" s="34">
        <v>0</v>
      </c>
      <c r="I8" s="34">
        <v>4</v>
      </c>
      <c r="J8" s="34">
        <v>4</v>
      </c>
    </row>
    <row r="9" spans="1:11" x14ac:dyDescent="0.3">
      <c r="A9" s="6" t="s">
        <v>16</v>
      </c>
      <c r="B9" s="34">
        <v>8.8095238095238102</v>
      </c>
      <c r="C9" s="6">
        <v>908</v>
      </c>
      <c r="D9" s="34">
        <f>VLOOKUP(A9,UPDATED_SPECART1!C:L,5,FALSE)</f>
        <v>14295.146008919961</v>
      </c>
      <c r="E9" s="6">
        <v>88.05</v>
      </c>
      <c r="F9" s="6">
        <v>4.9800000000000004</v>
      </c>
      <c r="G9" s="6">
        <v>6.97</v>
      </c>
      <c r="H9" s="6">
        <v>0</v>
      </c>
      <c r="I9" s="6">
        <v>5</v>
      </c>
      <c r="J9" s="6">
        <v>5</v>
      </c>
      <c r="K9" s="33"/>
    </row>
    <row r="10" spans="1:11" x14ac:dyDescent="0.3">
      <c r="A10" s="6" t="s">
        <v>55</v>
      </c>
      <c r="B10" s="34">
        <v>9.9523809523809508</v>
      </c>
      <c r="C10" s="6">
        <v>902</v>
      </c>
      <c r="D10" s="34">
        <f>VLOOKUP(A10,UPDATED_SPECART1!C:L,5,FALSE)</f>
        <v>18710.439275336765</v>
      </c>
      <c r="E10" s="6">
        <v>71.64</v>
      </c>
      <c r="F10" s="6">
        <v>22.64</v>
      </c>
      <c r="G10" s="6">
        <v>5.72</v>
      </c>
      <c r="H10" s="6">
        <v>0</v>
      </c>
      <c r="I10" s="6">
        <v>6</v>
      </c>
      <c r="J10" s="6">
        <v>5</v>
      </c>
      <c r="K10" s="33"/>
    </row>
    <row r="11" spans="1:11" x14ac:dyDescent="0.3">
      <c r="A11" s="6" t="s">
        <v>61</v>
      </c>
      <c r="B11" s="34">
        <v>11.0952380952381</v>
      </c>
      <c r="C11" s="6">
        <v>904</v>
      </c>
      <c r="D11" s="34">
        <f>VLOOKUP(A11,UPDATED_SPECART1!C:L,5,FALSE)</f>
        <v>62853.502209168662</v>
      </c>
      <c r="E11" s="6">
        <v>94.44</v>
      </c>
      <c r="F11" s="6">
        <v>4.4400000000000004</v>
      </c>
      <c r="G11" s="6">
        <v>1.1200000000000001</v>
      </c>
      <c r="H11" s="6">
        <v>0</v>
      </c>
      <c r="I11" s="6">
        <v>7</v>
      </c>
      <c r="J11" s="6">
        <v>5</v>
      </c>
      <c r="K11" s="33"/>
    </row>
    <row r="12" spans="1:11" x14ac:dyDescent="0.3">
      <c r="A12" s="6" t="s">
        <v>19</v>
      </c>
      <c r="B12" s="34">
        <v>12.2380952380952</v>
      </c>
      <c r="C12" s="6">
        <v>900</v>
      </c>
      <c r="D12" s="34">
        <f>VLOOKUP(A12,UPDATED_SPECART1!C:L,5,FALSE)</f>
        <v>63399.145837508324</v>
      </c>
      <c r="E12" s="6">
        <v>91.61</v>
      </c>
      <c r="F12" s="6">
        <v>4.6399999999999997</v>
      </c>
      <c r="G12" s="6">
        <v>3.75</v>
      </c>
      <c r="H12" s="6">
        <v>0</v>
      </c>
      <c r="I12" s="6">
        <v>8</v>
      </c>
      <c r="J12" s="6">
        <v>5</v>
      </c>
      <c r="K12" s="33"/>
    </row>
    <row r="13" spans="1:11" x14ac:dyDescent="0.3">
      <c r="A13" s="6" t="s">
        <v>20</v>
      </c>
      <c r="B13" s="34">
        <v>13.380952380952399</v>
      </c>
      <c r="C13" s="6">
        <v>903</v>
      </c>
      <c r="D13" s="34">
        <f>VLOOKUP(A13,UPDATED_SPECART1!C:L,5,FALSE)</f>
        <v>68484.080076077938</v>
      </c>
      <c r="E13" s="6">
        <v>91.44</v>
      </c>
      <c r="F13" s="6">
        <v>4.5199999999999996</v>
      </c>
      <c r="G13" s="6">
        <v>4.05</v>
      </c>
      <c r="H13" s="6">
        <v>0</v>
      </c>
      <c r="I13" s="6">
        <v>9</v>
      </c>
      <c r="J13" s="6">
        <v>5</v>
      </c>
      <c r="K13" s="33"/>
    </row>
    <row r="14" spans="1:11" x14ac:dyDescent="0.3">
      <c r="A14" s="6" t="s">
        <v>21</v>
      </c>
      <c r="B14" s="34">
        <v>14.523809523809501</v>
      </c>
      <c r="C14" s="6">
        <v>899</v>
      </c>
      <c r="D14" s="34">
        <f>VLOOKUP(A14,UPDATED_SPECART1!C:L,5,FALSE)</f>
        <v>13129.848579247759</v>
      </c>
      <c r="E14" s="6">
        <v>85.77</v>
      </c>
      <c r="F14" s="6">
        <v>8.3000000000000007</v>
      </c>
      <c r="G14" s="6">
        <v>5.93</v>
      </c>
      <c r="H14" s="6">
        <v>0</v>
      </c>
      <c r="I14" s="6">
        <v>10</v>
      </c>
      <c r="J14" s="6">
        <v>5</v>
      </c>
      <c r="K14" s="33"/>
    </row>
    <row r="15" spans="1:11" x14ac:dyDescent="0.3">
      <c r="A15" s="6" t="s">
        <v>22</v>
      </c>
      <c r="B15" s="34">
        <v>15.6666666666667</v>
      </c>
      <c r="C15" s="6">
        <v>898</v>
      </c>
      <c r="D15" s="34">
        <f>VLOOKUP(A15,UPDATED_SPECART1!C:L,5,FALSE)</f>
        <v>118950.3109780462</v>
      </c>
      <c r="E15" s="6">
        <v>93.5</v>
      </c>
      <c r="F15" s="6">
        <v>4.0199999999999996</v>
      </c>
      <c r="G15" s="6">
        <v>2.48</v>
      </c>
      <c r="H15" s="6">
        <v>0</v>
      </c>
      <c r="I15" s="6">
        <v>11</v>
      </c>
      <c r="J15" s="6">
        <v>5</v>
      </c>
      <c r="K15" s="33"/>
    </row>
    <row r="16" spans="1:11" x14ac:dyDescent="0.3">
      <c r="A16" s="6" t="s">
        <v>23</v>
      </c>
      <c r="B16" s="34">
        <v>16.8095238095238</v>
      </c>
      <c r="C16" s="6">
        <v>2994</v>
      </c>
      <c r="D16" s="34">
        <f>VLOOKUP(A16,UPDATED_SPECART1!C:L,5,FALSE)</f>
        <v>5392.1490154831918</v>
      </c>
      <c r="E16" s="6">
        <v>77.64</v>
      </c>
      <c r="F16" s="6">
        <v>11.53</v>
      </c>
      <c r="G16" s="6">
        <v>10.83</v>
      </c>
      <c r="H16" s="6">
        <v>0</v>
      </c>
      <c r="I16" s="6">
        <v>12</v>
      </c>
      <c r="J16" s="6">
        <v>6</v>
      </c>
      <c r="K16" s="33"/>
    </row>
    <row r="17" spans="1:11" x14ac:dyDescent="0.3">
      <c r="A17" s="6" t="s">
        <v>24</v>
      </c>
      <c r="B17" s="34">
        <v>17.952380952380899</v>
      </c>
      <c r="C17" s="6">
        <v>3182</v>
      </c>
      <c r="D17" s="34">
        <f>VLOOKUP(A17,UPDATED_SPECART1!C:L,5,FALSE)</f>
        <v>15336</v>
      </c>
      <c r="E17" s="6">
        <v>36.869999999999997</v>
      </c>
      <c r="F17" s="6">
        <v>37.32</v>
      </c>
      <c r="G17" s="6">
        <v>25.81</v>
      </c>
      <c r="H17" s="6">
        <v>0</v>
      </c>
      <c r="I17" s="6">
        <v>13</v>
      </c>
      <c r="J17" s="6">
        <v>7</v>
      </c>
      <c r="K17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" sqref="D2:D17"/>
    </sheetView>
  </sheetViews>
  <sheetFormatPr defaultRowHeight="14.4" x14ac:dyDescent="0.3"/>
  <cols>
    <col min="1" max="1" width="32.6640625" bestFit="1" customWidth="1"/>
    <col min="2" max="2" width="9.33203125" bestFit="1" customWidth="1"/>
    <col min="3" max="3" width="10.5546875" bestFit="1" customWidth="1"/>
    <col min="4" max="4" width="11.5546875" bestFit="1" customWidth="1"/>
    <col min="5" max="7" width="8.5546875" bestFit="1" customWidth="1"/>
    <col min="8" max="8" width="8.33203125" bestFit="1" customWidth="1"/>
    <col min="9" max="9" width="8.5546875" bestFit="1" customWidth="1"/>
    <col min="10" max="10" width="7.5546875" bestFit="1" customWidth="1"/>
  </cols>
  <sheetData>
    <row r="1" spans="1:11" x14ac:dyDescent="0.3">
      <c r="A1" s="8" t="s">
        <v>9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1" x14ac:dyDescent="0.3">
      <c r="A2" s="8" t="s">
        <v>10</v>
      </c>
      <c r="B2" s="8">
        <v>1</v>
      </c>
      <c r="C2" s="8">
        <v>977</v>
      </c>
      <c r="D2" s="8">
        <f>VLOOKUP(A2,UPDATED_SPECART1!C:L,6,FALSE)</f>
        <v>119088.23291925465</v>
      </c>
      <c r="E2" s="8">
        <v>68</v>
      </c>
      <c r="F2" s="8">
        <v>29</v>
      </c>
      <c r="G2" s="8">
        <v>3</v>
      </c>
      <c r="H2" s="8">
        <v>1</v>
      </c>
      <c r="I2" s="8">
        <v>1</v>
      </c>
      <c r="J2" s="8">
        <v>1</v>
      </c>
    </row>
    <row r="3" spans="1:11" x14ac:dyDescent="0.3">
      <c r="A3" s="8" t="s">
        <v>11</v>
      </c>
      <c r="B3" s="8">
        <v>2</v>
      </c>
      <c r="C3" s="8">
        <v>978</v>
      </c>
      <c r="D3" s="34">
        <f>VLOOKUP(A3,UPDATED_SPECART1!C:L,6,FALSE)</f>
        <v>29541.267080745354</v>
      </c>
      <c r="E3" s="34">
        <v>68</v>
      </c>
      <c r="F3" s="34">
        <v>29</v>
      </c>
      <c r="G3" s="34">
        <v>3</v>
      </c>
      <c r="H3" s="8">
        <v>2</v>
      </c>
      <c r="I3" s="8">
        <v>1</v>
      </c>
      <c r="J3" s="8">
        <v>1</v>
      </c>
      <c r="K3" s="33"/>
    </row>
    <row r="4" spans="1:11" x14ac:dyDescent="0.3">
      <c r="A4" s="8" t="s">
        <v>12</v>
      </c>
      <c r="B4" s="8">
        <v>3</v>
      </c>
      <c r="C4" s="8">
        <v>928</v>
      </c>
      <c r="D4" s="34">
        <f>VLOOKUP(A4,UPDATED_SPECART1!C:L,6,FALSE)</f>
        <v>9660.5602387862255</v>
      </c>
      <c r="E4" s="8">
        <v>34.72</v>
      </c>
      <c r="F4" s="8">
        <v>38.47</v>
      </c>
      <c r="G4" s="8">
        <v>26.81</v>
      </c>
      <c r="H4" s="8">
        <v>0</v>
      </c>
      <c r="I4" s="8">
        <v>2</v>
      </c>
      <c r="J4" s="8">
        <v>2</v>
      </c>
      <c r="K4" s="33"/>
    </row>
    <row r="5" spans="1:11" x14ac:dyDescent="0.3">
      <c r="A5" s="8" t="s">
        <v>13</v>
      </c>
      <c r="B5" s="8">
        <v>4</v>
      </c>
      <c r="C5" s="8">
        <v>927</v>
      </c>
      <c r="D5" s="34">
        <f>VLOOKUP(A5,UPDATED_SPECART1!C:L,6,FALSE)</f>
        <v>8637.604267579336</v>
      </c>
      <c r="E5" s="8">
        <v>34.72</v>
      </c>
      <c r="F5" s="8">
        <v>38.47</v>
      </c>
      <c r="G5" s="8">
        <v>26.81</v>
      </c>
      <c r="H5" s="8">
        <v>0</v>
      </c>
      <c r="I5" s="8">
        <v>2</v>
      </c>
      <c r="J5" s="8">
        <v>2</v>
      </c>
      <c r="K5" s="33"/>
    </row>
    <row r="6" spans="1:11" x14ac:dyDescent="0.3">
      <c r="A6" s="8" t="s">
        <v>14</v>
      </c>
      <c r="B6" s="8">
        <v>5</v>
      </c>
      <c r="C6" s="8">
        <v>801</v>
      </c>
      <c r="D6" s="34">
        <f>VLOOKUP(A6,UPDATED_SPECART1!C:L,6,FALSE)</f>
        <v>120711.47916653109</v>
      </c>
      <c r="E6" s="8">
        <v>80.569999999999993</v>
      </c>
      <c r="F6" s="8">
        <v>10.92</v>
      </c>
      <c r="G6" s="8">
        <v>8.51</v>
      </c>
      <c r="H6" s="8">
        <v>0</v>
      </c>
      <c r="I6" s="8">
        <v>3</v>
      </c>
      <c r="J6" s="8">
        <v>3</v>
      </c>
      <c r="K6" s="33"/>
    </row>
    <row r="7" spans="1:11" x14ac:dyDescent="0.3">
      <c r="A7" s="8" t="s">
        <v>32</v>
      </c>
      <c r="B7" s="8">
        <v>7</v>
      </c>
      <c r="C7" s="8">
        <v>932</v>
      </c>
      <c r="D7" s="34">
        <f>VLOOKUP(A7,UPDATED_SPECART1!C:L,6,FALSE)</f>
        <v>39214.055116736294</v>
      </c>
      <c r="E7" s="8">
        <v>70.63</v>
      </c>
      <c r="F7" s="8">
        <v>16.98</v>
      </c>
      <c r="G7" s="8">
        <v>12.39</v>
      </c>
      <c r="H7" s="8">
        <v>0</v>
      </c>
      <c r="I7" s="8">
        <v>4</v>
      </c>
      <c r="J7" s="8">
        <v>4</v>
      </c>
      <c r="K7" s="33"/>
    </row>
    <row r="8" spans="1:11" s="33" customFormat="1" x14ac:dyDescent="0.3">
      <c r="A8" s="34" t="s">
        <v>35</v>
      </c>
      <c r="B8" s="34">
        <v>7.6666666666666696</v>
      </c>
      <c r="C8" s="34">
        <v>934</v>
      </c>
      <c r="D8" s="34">
        <f>VLOOKUP(A8,UPDATED_SPECART1!C:L,6,FALSE)</f>
        <v>2600</v>
      </c>
      <c r="E8" s="34">
        <v>70.63</v>
      </c>
      <c r="F8" s="34">
        <v>16.98</v>
      </c>
      <c r="G8" s="34">
        <v>12.39</v>
      </c>
      <c r="H8" s="34">
        <v>0</v>
      </c>
      <c r="I8" s="34">
        <v>4</v>
      </c>
      <c r="J8" s="34">
        <v>4</v>
      </c>
    </row>
    <row r="9" spans="1:11" x14ac:dyDescent="0.3">
      <c r="A9" s="8" t="s">
        <v>16</v>
      </c>
      <c r="B9" s="34">
        <v>8.8095238095238102</v>
      </c>
      <c r="C9" s="8">
        <v>908</v>
      </c>
      <c r="D9" s="34">
        <f>VLOOKUP(A9,UPDATED_SPECART1!C:L,6,FALSE)</f>
        <v>15143.724455439342</v>
      </c>
      <c r="E9" s="8">
        <v>88.05</v>
      </c>
      <c r="F9" s="8">
        <v>4.9800000000000004</v>
      </c>
      <c r="G9" s="8">
        <v>6.97</v>
      </c>
      <c r="H9" s="8">
        <v>0</v>
      </c>
      <c r="I9" s="8">
        <v>5</v>
      </c>
      <c r="J9" s="8">
        <v>5</v>
      </c>
      <c r="K9" s="33"/>
    </row>
    <row r="10" spans="1:11" x14ac:dyDescent="0.3">
      <c r="A10" s="8" t="s">
        <v>55</v>
      </c>
      <c r="B10" s="34">
        <v>9.9523809523809508</v>
      </c>
      <c r="C10" s="8">
        <v>902</v>
      </c>
      <c r="D10" s="34">
        <f>VLOOKUP(A10,UPDATED_SPECART1!C:L,6,FALSE)</f>
        <v>19821.115268716145</v>
      </c>
      <c r="E10" s="8">
        <v>71.64</v>
      </c>
      <c r="F10" s="8">
        <v>22.64</v>
      </c>
      <c r="G10" s="8">
        <v>5.72</v>
      </c>
      <c r="H10" s="8">
        <v>0</v>
      </c>
      <c r="I10" s="8">
        <v>6</v>
      </c>
      <c r="J10" s="8">
        <v>5</v>
      </c>
      <c r="K10" s="33"/>
    </row>
    <row r="11" spans="1:11" x14ac:dyDescent="0.3">
      <c r="A11" s="8" t="s">
        <v>61</v>
      </c>
      <c r="B11" s="34">
        <v>11.0952380952381</v>
      </c>
      <c r="C11" s="8">
        <v>904</v>
      </c>
      <c r="D11" s="34">
        <f>VLOOKUP(A11,UPDATED_SPECART1!C:L,6,FALSE)</f>
        <v>66584.567791127585</v>
      </c>
      <c r="E11" s="8">
        <v>94.44</v>
      </c>
      <c r="F11" s="8">
        <v>4.4400000000000004</v>
      </c>
      <c r="G11" s="8">
        <v>1.1200000000000001</v>
      </c>
      <c r="H11" s="8">
        <v>0</v>
      </c>
      <c r="I11" s="8">
        <v>7</v>
      </c>
      <c r="J11" s="8">
        <v>5</v>
      </c>
      <c r="K11" s="33"/>
    </row>
    <row r="12" spans="1:11" x14ac:dyDescent="0.3">
      <c r="A12" s="8" t="s">
        <v>19</v>
      </c>
      <c r="B12" s="34">
        <v>12.2380952380952</v>
      </c>
      <c r="C12" s="8">
        <v>900</v>
      </c>
      <c r="D12" s="34">
        <f>VLOOKUP(A12,UPDATED_SPECART1!C:L,6,FALSE)</f>
        <v>67162.601534419606</v>
      </c>
      <c r="E12" s="8">
        <v>91.61</v>
      </c>
      <c r="F12" s="8">
        <v>4.6399999999999997</v>
      </c>
      <c r="G12" s="8">
        <v>3.75</v>
      </c>
      <c r="H12" s="8">
        <v>0</v>
      </c>
      <c r="I12" s="8">
        <v>8</v>
      </c>
      <c r="J12" s="8">
        <v>5</v>
      </c>
      <c r="K12" s="33"/>
    </row>
    <row r="13" spans="1:11" x14ac:dyDescent="0.3">
      <c r="A13" s="8" t="s">
        <v>20</v>
      </c>
      <c r="B13" s="34">
        <v>13.380952380952399</v>
      </c>
      <c r="C13" s="8">
        <v>903</v>
      </c>
      <c r="D13" s="34">
        <f>VLOOKUP(A13,UPDATED_SPECART1!C:L,6,FALSE)</f>
        <v>72549.384078289921</v>
      </c>
      <c r="E13" s="8">
        <v>91.44</v>
      </c>
      <c r="F13" s="8">
        <v>4.5199999999999996</v>
      </c>
      <c r="G13" s="8">
        <v>4.05</v>
      </c>
      <c r="H13" s="8">
        <v>0</v>
      </c>
      <c r="I13" s="8">
        <v>9</v>
      </c>
      <c r="J13" s="8">
        <v>5</v>
      </c>
      <c r="K13" s="33"/>
    </row>
    <row r="14" spans="1:11" x14ac:dyDescent="0.3">
      <c r="A14" s="8" t="s">
        <v>21</v>
      </c>
      <c r="B14" s="34">
        <v>14.523809523809501</v>
      </c>
      <c r="C14" s="8">
        <v>899</v>
      </c>
      <c r="D14" s="34">
        <f>VLOOKUP(A14,UPDATED_SPECART1!C:L,6,FALSE)</f>
        <v>13909.253455802394</v>
      </c>
      <c r="E14" s="8">
        <v>85.77</v>
      </c>
      <c r="F14" s="8">
        <v>8.3000000000000007</v>
      </c>
      <c r="G14" s="8">
        <v>5.93</v>
      </c>
      <c r="H14" s="8">
        <v>0</v>
      </c>
      <c r="I14" s="8">
        <v>10</v>
      </c>
      <c r="J14" s="8">
        <v>5</v>
      </c>
      <c r="K14" s="33"/>
    </row>
    <row r="15" spans="1:11" x14ac:dyDescent="0.3">
      <c r="A15" s="8" t="s">
        <v>22</v>
      </c>
      <c r="B15" s="34">
        <v>15.6666666666667</v>
      </c>
      <c r="C15" s="8">
        <v>898</v>
      </c>
      <c r="D15" s="34">
        <f>VLOOKUP(A15,UPDATED_SPECART1!C:L,6,FALSE)</f>
        <v>126011.35603766037</v>
      </c>
      <c r="E15" s="8">
        <v>93.5</v>
      </c>
      <c r="F15" s="8">
        <v>4.0199999999999996</v>
      </c>
      <c r="G15" s="8">
        <v>2.48</v>
      </c>
      <c r="H15" s="8">
        <v>0</v>
      </c>
      <c r="I15" s="8">
        <v>11</v>
      </c>
      <c r="J15" s="8">
        <v>5</v>
      </c>
      <c r="K15" s="33"/>
    </row>
    <row r="16" spans="1:11" x14ac:dyDescent="0.3">
      <c r="A16" s="8" t="s">
        <v>23</v>
      </c>
      <c r="B16" s="34">
        <v>16.8095238095238</v>
      </c>
      <c r="C16" s="8">
        <v>2994</v>
      </c>
      <c r="D16" s="34">
        <f>VLOOKUP(A16,UPDATED_SPECART1!C:L,6,FALSE)</f>
        <v>5712.2339892291466</v>
      </c>
      <c r="E16" s="8">
        <v>77.64</v>
      </c>
      <c r="F16" s="8">
        <v>11.53</v>
      </c>
      <c r="G16" s="8">
        <v>10.83</v>
      </c>
      <c r="H16" s="8">
        <v>0</v>
      </c>
      <c r="I16" s="8">
        <v>12</v>
      </c>
      <c r="J16" s="8">
        <v>6</v>
      </c>
      <c r="K16" s="33"/>
    </row>
    <row r="17" spans="1:11" x14ac:dyDescent="0.3">
      <c r="A17" s="8" t="s">
        <v>24</v>
      </c>
      <c r="B17" s="34">
        <v>17.952380952380899</v>
      </c>
      <c r="C17" s="8">
        <v>3182</v>
      </c>
      <c r="D17" s="34">
        <f>VLOOKUP(A17,UPDATED_SPECART1!C:L,6,FALSE)</f>
        <v>26838</v>
      </c>
      <c r="E17" s="8">
        <v>36.869999999999997</v>
      </c>
      <c r="F17" s="8">
        <v>37.32</v>
      </c>
      <c r="G17" s="8">
        <v>25.81</v>
      </c>
      <c r="H17" s="8">
        <v>0</v>
      </c>
      <c r="I17" s="8">
        <v>13</v>
      </c>
      <c r="J17" s="8">
        <v>7</v>
      </c>
      <c r="K17" s="3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2" sqref="D2:D17"/>
    </sheetView>
  </sheetViews>
  <sheetFormatPr defaultRowHeight="14.4" x14ac:dyDescent="0.3"/>
  <cols>
    <col min="1" max="1" width="32.6640625" bestFit="1" customWidth="1"/>
    <col min="2" max="2" width="9.33203125" bestFit="1" customWidth="1"/>
    <col min="3" max="3" width="10.5546875" bestFit="1" customWidth="1"/>
    <col min="4" max="4" width="11.5546875" bestFit="1" customWidth="1"/>
    <col min="5" max="7" width="8.5546875" bestFit="1" customWidth="1"/>
    <col min="8" max="8" width="8.33203125" bestFit="1" customWidth="1"/>
    <col min="9" max="9" width="8.5546875" bestFit="1" customWidth="1"/>
    <col min="10" max="10" width="7.5546875" bestFit="1" customWidth="1"/>
  </cols>
  <sheetData>
    <row r="1" spans="1:10" x14ac:dyDescent="0.3">
      <c r="A1" s="10" t="s">
        <v>9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</row>
    <row r="2" spans="1:10" x14ac:dyDescent="0.3">
      <c r="A2" s="10" t="s">
        <v>10</v>
      </c>
      <c r="B2" s="10">
        <v>1</v>
      </c>
      <c r="C2" s="10">
        <v>977</v>
      </c>
      <c r="D2" s="10">
        <f>VLOOKUP(A2,UPDATED_SPECART1!C:L,7,FALSE)</f>
        <v>116935.42857142858</v>
      </c>
      <c r="E2" s="10">
        <v>68</v>
      </c>
      <c r="F2" s="10">
        <v>29</v>
      </c>
      <c r="G2" s="10">
        <v>3</v>
      </c>
      <c r="H2" s="10">
        <v>1</v>
      </c>
      <c r="I2" s="10">
        <v>1</v>
      </c>
      <c r="J2" s="10">
        <v>1</v>
      </c>
    </row>
    <row r="3" spans="1:10" x14ac:dyDescent="0.3">
      <c r="A3" s="10" t="s">
        <v>11</v>
      </c>
      <c r="B3" s="10">
        <v>2</v>
      </c>
      <c r="C3" s="10">
        <v>978</v>
      </c>
      <c r="D3" s="34">
        <f>VLOOKUP(A3,UPDATED_SPECART1!C:L,7,FALSE)</f>
        <v>54388.57142857142</v>
      </c>
      <c r="E3" s="34">
        <v>68</v>
      </c>
      <c r="F3" s="34">
        <v>29</v>
      </c>
      <c r="G3" s="34">
        <v>3</v>
      </c>
      <c r="H3" s="10">
        <v>2</v>
      </c>
      <c r="I3" s="10">
        <v>1</v>
      </c>
      <c r="J3" s="10">
        <v>1</v>
      </c>
    </row>
    <row r="4" spans="1:10" x14ac:dyDescent="0.3">
      <c r="A4" s="10" t="s">
        <v>12</v>
      </c>
      <c r="B4" s="10">
        <v>3</v>
      </c>
      <c r="C4" s="10">
        <v>928</v>
      </c>
      <c r="D4" s="34">
        <f>VLOOKUP(A4,UPDATED_SPECART1!C:L,7,FALSE)</f>
        <v>11640.967599983695</v>
      </c>
      <c r="E4" s="10">
        <v>34.72</v>
      </c>
      <c r="F4" s="10">
        <v>38.47</v>
      </c>
      <c r="G4" s="10">
        <v>26.81</v>
      </c>
      <c r="H4" s="10">
        <v>0</v>
      </c>
      <c r="I4" s="10">
        <v>2</v>
      </c>
      <c r="J4" s="10">
        <v>2</v>
      </c>
    </row>
    <row r="5" spans="1:10" x14ac:dyDescent="0.3">
      <c r="A5" s="10" t="s">
        <v>13</v>
      </c>
      <c r="B5" s="10">
        <v>4</v>
      </c>
      <c r="C5" s="10">
        <v>927</v>
      </c>
      <c r="D5" s="34">
        <f>VLOOKUP(A5,UPDATED_SPECART1!C:L,7,FALSE)</f>
        <v>10408.306447557048</v>
      </c>
      <c r="E5" s="10">
        <v>34.72</v>
      </c>
      <c r="F5" s="10">
        <v>38.47</v>
      </c>
      <c r="G5" s="10">
        <v>26.81</v>
      </c>
      <c r="H5" s="10">
        <v>0</v>
      </c>
      <c r="I5" s="10">
        <v>2</v>
      </c>
      <c r="J5" s="10">
        <v>2</v>
      </c>
    </row>
    <row r="6" spans="1:10" x14ac:dyDescent="0.3">
      <c r="A6" s="10" t="s">
        <v>14</v>
      </c>
      <c r="B6" s="10">
        <v>5</v>
      </c>
      <c r="C6" s="10">
        <v>801</v>
      </c>
      <c r="D6" s="34">
        <f>VLOOKUP(A6,UPDATED_SPECART1!C:L,7,FALSE)</f>
        <v>127419.63826698624</v>
      </c>
      <c r="E6" s="10">
        <v>80.569999999999993</v>
      </c>
      <c r="F6" s="10">
        <v>10.92</v>
      </c>
      <c r="G6" s="10">
        <v>8.51</v>
      </c>
      <c r="H6" s="10">
        <v>0</v>
      </c>
      <c r="I6" s="10">
        <v>3</v>
      </c>
      <c r="J6" s="10">
        <v>3</v>
      </c>
    </row>
    <row r="7" spans="1:10" x14ac:dyDescent="0.3">
      <c r="A7" s="10" t="s">
        <v>32</v>
      </c>
      <c r="B7" s="10">
        <v>7</v>
      </c>
      <c r="C7" s="10">
        <v>932</v>
      </c>
      <c r="D7" s="34">
        <f>VLOOKUP(A7,UPDATED_SPECART1!C:L,7,FALSE)</f>
        <v>41541.852395051712</v>
      </c>
      <c r="E7" s="10">
        <v>70.63</v>
      </c>
      <c r="F7" s="10">
        <v>16.98</v>
      </c>
      <c r="G7" s="10">
        <v>12.39</v>
      </c>
      <c r="H7" s="10">
        <v>0</v>
      </c>
      <c r="I7" s="10">
        <v>4</v>
      </c>
      <c r="J7" s="10">
        <v>4</v>
      </c>
    </row>
    <row r="8" spans="1:10" s="33" customFormat="1" x14ac:dyDescent="0.3">
      <c r="A8" s="34" t="s">
        <v>35</v>
      </c>
      <c r="B8" s="34">
        <v>7.6666666666666696</v>
      </c>
      <c r="C8" s="34">
        <v>934</v>
      </c>
      <c r="D8" s="34">
        <f>VLOOKUP(A8,UPDATED_SPECART1!C:L,7,FALSE)</f>
        <v>2600</v>
      </c>
      <c r="E8" s="34">
        <v>70.63</v>
      </c>
      <c r="F8" s="34">
        <v>16.98</v>
      </c>
      <c r="G8" s="34">
        <v>12.39</v>
      </c>
      <c r="H8" s="34">
        <v>0</v>
      </c>
      <c r="I8" s="34">
        <v>4</v>
      </c>
      <c r="J8" s="34">
        <v>4</v>
      </c>
    </row>
    <row r="9" spans="1:10" x14ac:dyDescent="0.3">
      <c r="A9" s="10" t="s">
        <v>16</v>
      </c>
      <c r="B9" s="34">
        <v>8.8095238095238102</v>
      </c>
      <c r="C9" s="10">
        <v>908</v>
      </c>
      <c r="D9" s="34">
        <f>VLOOKUP(A9,UPDATED_SPECART1!C:L,7,FALSE)</f>
        <v>16042.675621443219</v>
      </c>
      <c r="E9" s="10">
        <v>88.05</v>
      </c>
      <c r="F9" s="10">
        <v>4.9800000000000004</v>
      </c>
      <c r="G9" s="10">
        <v>6.97</v>
      </c>
      <c r="H9" s="10">
        <v>0</v>
      </c>
      <c r="I9" s="10">
        <v>5</v>
      </c>
      <c r="J9" s="10">
        <v>5</v>
      </c>
    </row>
    <row r="10" spans="1:10" x14ac:dyDescent="0.3">
      <c r="A10" s="10" t="s">
        <v>55</v>
      </c>
      <c r="B10" s="34">
        <v>9.9523809523809508</v>
      </c>
      <c r="C10" s="10">
        <v>902</v>
      </c>
      <c r="D10" s="34">
        <f>VLOOKUP(A10,UPDATED_SPECART1!C:L,7,FALSE)</f>
        <v>20997.722432610339</v>
      </c>
      <c r="E10" s="10">
        <v>71.64</v>
      </c>
      <c r="F10" s="10">
        <v>22.64</v>
      </c>
      <c r="G10" s="10">
        <v>5.72</v>
      </c>
      <c r="H10" s="10">
        <v>0</v>
      </c>
      <c r="I10" s="10">
        <v>6</v>
      </c>
      <c r="J10" s="10">
        <v>5</v>
      </c>
    </row>
    <row r="11" spans="1:10" x14ac:dyDescent="0.3">
      <c r="A11" s="10" t="s">
        <v>61</v>
      </c>
      <c r="B11" s="34">
        <v>11.0952380952381</v>
      </c>
      <c r="C11" s="10">
        <v>904</v>
      </c>
      <c r="D11" s="34">
        <f>VLOOKUP(A11,UPDATED_SPECART1!C:L,7,FALSE)</f>
        <v>70537.114275304993</v>
      </c>
      <c r="E11" s="10">
        <v>94.44</v>
      </c>
      <c r="F11" s="10">
        <v>4.4400000000000004</v>
      </c>
      <c r="G11" s="10">
        <v>1.1200000000000001</v>
      </c>
      <c r="H11" s="10">
        <v>0</v>
      </c>
      <c r="I11" s="10">
        <v>7</v>
      </c>
      <c r="J11" s="10">
        <v>5</v>
      </c>
    </row>
    <row r="12" spans="1:10" x14ac:dyDescent="0.3">
      <c r="A12" s="10" t="s">
        <v>19</v>
      </c>
      <c r="B12" s="34">
        <v>12.2380952380952</v>
      </c>
      <c r="C12" s="10">
        <v>900</v>
      </c>
      <c r="D12" s="34">
        <f>VLOOKUP(A12,UPDATED_SPECART1!C:L,7,FALSE)</f>
        <v>71149.460852870456</v>
      </c>
      <c r="E12" s="10">
        <v>91.61</v>
      </c>
      <c r="F12" s="10">
        <v>4.6399999999999997</v>
      </c>
      <c r="G12" s="10">
        <v>3.75</v>
      </c>
      <c r="H12" s="10">
        <v>0</v>
      </c>
      <c r="I12" s="10">
        <v>8</v>
      </c>
      <c r="J12" s="10">
        <v>5</v>
      </c>
    </row>
    <row r="13" spans="1:10" x14ac:dyDescent="0.3">
      <c r="A13" s="10" t="s">
        <v>20</v>
      </c>
      <c r="B13" s="34">
        <v>13.380952380952399</v>
      </c>
      <c r="C13" s="10">
        <v>903</v>
      </c>
      <c r="D13" s="34">
        <f>VLOOKUP(A13,UPDATED_SPECART1!C:L,7,FALSE)</f>
        <v>76856.009809756957</v>
      </c>
      <c r="E13" s="10">
        <v>91.44</v>
      </c>
      <c r="F13" s="10">
        <v>4.5199999999999996</v>
      </c>
      <c r="G13" s="10">
        <v>4.05</v>
      </c>
      <c r="H13" s="10">
        <v>0</v>
      </c>
      <c r="I13" s="10">
        <v>9</v>
      </c>
      <c r="J13" s="10">
        <v>5</v>
      </c>
    </row>
    <row r="14" spans="1:10" x14ac:dyDescent="0.3">
      <c r="A14" s="10" t="s">
        <v>21</v>
      </c>
      <c r="B14" s="34">
        <v>14.523809523809501</v>
      </c>
      <c r="C14" s="10">
        <v>899</v>
      </c>
      <c r="D14" s="34">
        <f>VLOOKUP(A14,UPDATED_SPECART1!C:L,7,FALSE)</f>
        <v>14734.924818823392</v>
      </c>
      <c r="E14" s="10">
        <v>85.77</v>
      </c>
      <c r="F14" s="10">
        <v>8.3000000000000007</v>
      </c>
      <c r="G14" s="10">
        <v>5.93</v>
      </c>
      <c r="H14" s="10">
        <v>0</v>
      </c>
      <c r="I14" s="10">
        <v>10</v>
      </c>
      <c r="J14" s="10">
        <v>5</v>
      </c>
    </row>
    <row r="15" spans="1:10" x14ac:dyDescent="0.3">
      <c r="A15" s="10" t="s">
        <v>22</v>
      </c>
      <c r="B15" s="34">
        <v>15.6666666666667</v>
      </c>
      <c r="C15" s="10">
        <v>898</v>
      </c>
      <c r="D15" s="34">
        <f>VLOOKUP(A15,UPDATED_SPECART1!C:L,7,FALSE)</f>
        <v>133491.55390926765</v>
      </c>
      <c r="E15" s="10">
        <v>93.5</v>
      </c>
      <c r="F15" s="10">
        <v>4.0199999999999996</v>
      </c>
      <c r="G15" s="10">
        <v>2.48</v>
      </c>
      <c r="H15" s="10">
        <v>0</v>
      </c>
      <c r="I15" s="10">
        <v>11</v>
      </c>
      <c r="J15" s="10">
        <v>5</v>
      </c>
    </row>
    <row r="16" spans="1:10" x14ac:dyDescent="0.3">
      <c r="A16" s="10" t="s">
        <v>23</v>
      </c>
      <c r="B16" s="34">
        <v>16.8095238095238</v>
      </c>
      <c r="C16" s="10">
        <v>2994</v>
      </c>
      <c r="D16" s="34">
        <f>VLOOKUP(A16,UPDATED_SPECART1!C:L,7,FALSE)</f>
        <v>6051.3196230317426</v>
      </c>
      <c r="E16" s="10">
        <v>77.64</v>
      </c>
      <c r="F16" s="10">
        <v>11.53</v>
      </c>
      <c r="G16" s="10">
        <v>10.83</v>
      </c>
      <c r="H16" s="10">
        <v>0</v>
      </c>
      <c r="I16" s="10">
        <v>12</v>
      </c>
      <c r="J16" s="10">
        <v>6</v>
      </c>
    </row>
    <row r="17" spans="1:10" x14ac:dyDescent="0.3">
      <c r="A17" s="10" t="s">
        <v>24</v>
      </c>
      <c r="B17" s="34">
        <v>17.952380952380899</v>
      </c>
      <c r="C17" s="10">
        <v>3182</v>
      </c>
      <c r="D17" s="34">
        <f>VLOOKUP(A17,UPDATED_SPECART1!C:L,7,FALSE)</f>
        <v>26838</v>
      </c>
      <c r="E17" s="10">
        <v>36.869999999999997</v>
      </c>
      <c r="F17" s="10">
        <v>37.32</v>
      </c>
      <c r="G17" s="10">
        <v>25.81</v>
      </c>
      <c r="H17" s="10">
        <v>0</v>
      </c>
      <c r="I17" s="10">
        <v>13</v>
      </c>
      <c r="J17" s="10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" sqref="D2:D17"/>
    </sheetView>
  </sheetViews>
  <sheetFormatPr defaultRowHeight="14.4" x14ac:dyDescent="0.3"/>
  <cols>
    <col min="1" max="1" width="32.6640625" bestFit="1" customWidth="1"/>
    <col min="2" max="2" width="9.33203125" bestFit="1" customWidth="1"/>
    <col min="3" max="3" width="10.5546875" bestFit="1" customWidth="1"/>
    <col min="4" max="4" width="11.5546875" bestFit="1" customWidth="1"/>
    <col min="5" max="7" width="8.5546875" bestFit="1" customWidth="1"/>
    <col min="8" max="8" width="8.33203125" bestFit="1" customWidth="1"/>
    <col min="9" max="9" width="8.5546875" bestFit="1" customWidth="1"/>
    <col min="10" max="10" width="7.5546875" bestFit="1" customWidth="1"/>
  </cols>
  <sheetData>
    <row r="1" spans="1:11" x14ac:dyDescent="0.3">
      <c r="A1" s="12" t="s">
        <v>9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</row>
    <row r="2" spans="1:11" x14ac:dyDescent="0.3">
      <c r="A2" s="12" t="s">
        <v>10</v>
      </c>
      <c r="B2" s="12">
        <v>1</v>
      </c>
      <c r="C2" s="12">
        <v>977</v>
      </c>
      <c r="D2" s="12">
        <f>VLOOKUP(A2,UPDATED_SPECART1!C:L,8,FALSE)</f>
        <v>100515.47891566265</v>
      </c>
      <c r="E2" s="12">
        <v>68</v>
      </c>
      <c r="F2" s="12">
        <v>29</v>
      </c>
      <c r="G2" s="12">
        <v>3</v>
      </c>
      <c r="H2" s="12">
        <v>1</v>
      </c>
      <c r="I2" s="12">
        <v>1</v>
      </c>
      <c r="J2" s="12">
        <v>1</v>
      </c>
    </row>
    <row r="3" spans="1:11" x14ac:dyDescent="0.3">
      <c r="A3" s="12" t="s">
        <v>11</v>
      </c>
      <c r="B3" s="12">
        <v>2</v>
      </c>
      <c r="C3" s="12">
        <v>978</v>
      </c>
      <c r="D3" s="34">
        <f>VLOOKUP(A3,UPDATED_SPECART1!C:L,8,FALSE)</f>
        <v>93502.77108433735</v>
      </c>
      <c r="E3" s="34">
        <v>68</v>
      </c>
      <c r="F3" s="34">
        <v>29</v>
      </c>
      <c r="G3" s="34">
        <v>3</v>
      </c>
      <c r="H3" s="12">
        <v>2</v>
      </c>
      <c r="I3" s="12">
        <v>1</v>
      </c>
      <c r="J3" s="12">
        <v>1</v>
      </c>
      <c r="K3" s="33"/>
    </row>
    <row r="4" spans="1:11" x14ac:dyDescent="0.3">
      <c r="A4" s="12" t="s">
        <v>12</v>
      </c>
      <c r="B4" s="12">
        <v>3</v>
      </c>
      <c r="C4" s="12">
        <v>928</v>
      </c>
      <c r="D4" s="34">
        <f>VLOOKUP(A4,UPDATED_SPECART1!C:L,8,FALSE)</f>
        <v>14027.356935242939</v>
      </c>
      <c r="E4" s="12">
        <v>34.72</v>
      </c>
      <c r="F4" s="12">
        <v>38.47</v>
      </c>
      <c r="G4" s="12">
        <v>26.81</v>
      </c>
      <c r="H4" s="12">
        <v>0</v>
      </c>
      <c r="I4" s="12">
        <v>2</v>
      </c>
      <c r="J4" s="12">
        <v>2</v>
      </c>
      <c r="K4" s="33"/>
    </row>
    <row r="5" spans="1:11" x14ac:dyDescent="0.3">
      <c r="A5" s="12" t="s">
        <v>13</v>
      </c>
      <c r="B5" s="12">
        <v>4</v>
      </c>
      <c r="C5" s="12">
        <v>927</v>
      </c>
      <c r="D5" s="34">
        <f>VLOOKUP(A5,UPDATED_SPECART1!C:L,8,FALSE)</f>
        <v>12542.001201985791</v>
      </c>
      <c r="E5" s="12">
        <v>34.72</v>
      </c>
      <c r="F5" s="12">
        <v>38.47</v>
      </c>
      <c r="G5" s="12">
        <v>26.81</v>
      </c>
      <c r="H5" s="12">
        <v>0</v>
      </c>
      <c r="I5" s="12">
        <v>2</v>
      </c>
      <c r="J5" s="12">
        <v>2</v>
      </c>
      <c r="K5" s="33"/>
    </row>
    <row r="6" spans="1:11" x14ac:dyDescent="0.3">
      <c r="A6" s="12" t="s">
        <v>14</v>
      </c>
      <c r="B6" s="12">
        <v>5</v>
      </c>
      <c r="C6" s="12">
        <v>801</v>
      </c>
      <c r="D6" s="34">
        <f>VLOOKUP(A6,UPDATED_SPECART1!C:L,8,FALSE)</f>
        <v>134526.00241025223</v>
      </c>
      <c r="E6" s="12">
        <v>80.569999999999993</v>
      </c>
      <c r="F6" s="12">
        <v>10.92</v>
      </c>
      <c r="G6" s="12">
        <v>8.51</v>
      </c>
      <c r="H6" s="12">
        <v>0</v>
      </c>
      <c r="I6" s="12">
        <v>3</v>
      </c>
      <c r="J6" s="12">
        <v>3</v>
      </c>
      <c r="K6" s="33"/>
    </row>
    <row r="7" spans="1:11" x14ac:dyDescent="0.3">
      <c r="A7" s="12" t="s">
        <v>32</v>
      </c>
      <c r="B7" s="12">
        <v>7</v>
      </c>
      <c r="C7" s="12">
        <v>932</v>
      </c>
      <c r="D7" s="34">
        <f>VLOOKUP(A7,UPDATED_SPECART1!C:L,8,FALSE)</f>
        <v>44007.830745250722</v>
      </c>
      <c r="E7" s="12">
        <v>70.63</v>
      </c>
      <c r="F7" s="12">
        <v>16.98</v>
      </c>
      <c r="G7" s="12">
        <v>12.39</v>
      </c>
      <c r="H7" s="12">
        <v>0</v>
      </c>
      <c r="I7" s="12">
        <v>4</v>
      </c>
      <c r="J7" s="12">
        <v>4</v>
      </c>
      <c r="K7" s="33"/>
    </row>
    <row r="8" spans="1:11" s="33" customFormat="1" x14ac:dyDescent="0.3">
      <c r="A8" s="34" t="s">
        <v>35</v>
      </c>
      <c r="B8" s="34">
        <v>7.6666666666666696</v>
      </c>
      <c r="C8" s="34">
        <v>934</v>
      </c>
      <c r="D8" s="34">
        <f>VLOOKUP(A8,UPDATED_SPECART1!C:L,8,FALSE)</f>
        <v>2600</v>
      </c>
      <c r="E8" s="34">
        <v>70.63</v>
      </c>
      <c r="F8" s="34">
        <v>16.98</v>
      </c>
      <c r="G8" s="34">
        <v>12.39</v>
      </c>
      <c r="H8" s="34">
        <v>0</v>
      </c>
      <c r="I8" s="34">
        <v>4</v>
      </c>
      <c r="J8" s="34">
        <v>4</v>
      </c>
    </row>
    <row r="9" spans="1:11" x14ac:dyDescent="0.3">
      <c r="A9" s="12" t="s">
        <v>16</v>
      </c>
      <c r="B9" s="34">
        <v>8.8095238095238102</v>
      </c>
      <c r="C9" s="12">
        <v>908</v>
      </c>
      <c r="D9" s="34">
        <f>VLOOKUP(A9,UPDATED_SPECART1!C:L,8,FALSE)</f>
        <v>16994.989697029716</v>
      </c>
      <c r="E9" s="12">
        <v>88.05</v>
      </c>
      <c r="F9" s="12">
        <v>4.9800000000000004</v>
      </c>
      <c r="G9" s="12">
        <v>6.97</v>
      </c>
      <c r="H9" s="12">
        <v>0</v>
      </c>
      <c r="I9" s="12">
        <v>5</v>
      </c>
      <c r="J9" s="12">
        <v>5</v>
      </c>
      <c r="K9" s="33"/>
    </row>
    <row r="10" spans="1:11" x14ac:dyDescent="0.3">
      <c r="A10" s="12" t="s">
        <v>55</v>
      </c>
      <c r="B10" s="34">
        <v>9.9523809523809508</v>
      </c>
      <c r="C10" s="12">
        <v>902</v>
      </c>
      <c r="D10" s="34">
        <f>VLOOKUP(A10,UPDATED_SPECART1!C:L,8,FALSE)</f>
        <v>22244.174526991977</v>
      </c>
      <c r="E10" s="12">
        <v>71.64</v>
      </c>
      <c r="F10" s="12">
        <v>22.64</v>
      </c>
      <c r="G10" s="12">
        <v>5.72</v>
      </c>
      <c r="H10" s="12">
        <v>0</v>
      </c>
      <c r="I10" s="12">
        <v>6</v>
      </c>
      <c r="J10" s="12">
        <v>5</v>
      </c>
      <c r="K10" s="33"/>
    </row>
    <row r="11" spans="1:11" x14ac:dyDescent="0.3">
      <c r="A11" s="12" t="s">
        <v>61</v>
      </c>
      <c r="B11" s="34">
        <v>11.0952380952381</v>
      </c>
      <c r="C11" s="12">
        <v>904</v>
      </c>
      <c r="D11" s="34">
        <f>VLOOKUP(A11,UPDATED_SPECART1!C:L,8,FALSE)</f>
        <v>74724.289055915753</v>
      </c>
      <c r="E11" s="12">
        <v>94.44</v>
      </c>
      <c r="F11" s="12">
        <v>4.4400000000000004</v>
      </c>
      <c r="G11" s="12">
        <v>1.1200000000000001</v>
      </c>
      <c r="H11" s="12">
        <v>0</v>
      </c>
      <c r="I11" s="12">
        <v>7</v>
      </c>
      <c r="J11" s="12">
        <v>5</v>
      </c>
      <c r="K11" s="33"/>
    </row>
    <row r="12" spans="1:11" x14ac:dyDescent="0.3">
      <c r="A12" s="12" t="s">
        <v>19</v>
      </c>
      <c r="B12" s="34">
        <v>12.2380952380952</v>
      </c>
      <c r="C12" s="12">
        <v>900</v>
      </c>
      <c r="D12" s="34">
        <f>VLOOKUP(A12,UPDATED_SPECART1!C:L,8,FALSE)</f>
        <v>75372.985322193577</v>
      </c>
      <c r="E12" s="12">
        <v>91.61</v>
      </c>
      <c r="F12" s="12">
        <v>4.6399999999999997</v>
      </c>
      <c r="G12" s="12">
        <v>3.75</v>
      </c>
      <c r="H12" s="12">
        <v>0</v>
      </c>
      <c r="I12" s="12">
        <v>8</v>
      </c>
      <c r="J12" s="12">
        <v>5</v>
      </c>
      <c r="K12" s="33"/>
    </row>
    <row r="13" spans="1:11" x14ac:dyDescent="0.3">
      <c r="A13" s="12" t="s">
        <v>20</v>
      </c>
      <c r="B13" s="34">
        <v>13.380952380952399</v>
      </c>
      <c r="C13" s="12">
        <v>903</v>
      </c>
      <c r="D13" s="34">
        <f>VLOOKUP(A13,UPDATED_SPECART1!C:L,8,FALSE)</f>
        <v>81418.282441973977</v>
      </c>
      <c r="E13" s="12">
        <v>91.44</v>
      </c>
      <c r="F13" s="12">
        <v>4.5199999999999996</v>
      </c>
      <c r="G13" s="12">
        <v>4.05</v>
      </c>
      <c r="H13" s="12">
        <v>0</v>
      </c>
      <c r="I13" s="12">
        <v>9</v>
      </c>
      <c r="J13" s="12">
        <v>5</v>
      </c>
      <c r="K13" s="33"/>
    </row>
    <row r="14" spans="1:11" x14ac:dyDescent="0.3">
      <c r="A14" s="12" t="s">
        <v>21</v>
      </c>
      <c r="B14" s="34">
        <v>14.523809523809501</v>
      </c>
      <c r="C14" s="12">
        <v>899</v>
      </c>
      <c r="D14" s="34">
        <f>VLOOKUP(A14,UPDATED_SPECART1!C:L,8,FALSE)</f>
        <v>15609.609107080039</v>
      </c>
      <c r="E14" s="12">
        <v>85.77</v>
      </c>
      <c r="F14" s="12">
        <v>8.3000000000000007</v>
      </c>
      <c r="G14" s="12">
        <v>5.93</v>
      </c>
      <c r="H14" s="12">
        <v>0</v>
      </c>
      <c r="I14" s="12">
        <v>10</v>
      </c>
      <c r="J14" s="12">
        <v>5</v>
      </c>
      <c r="K14" s="33"/>
    </row>
    <row r="15" spans="1:11" x14ac:dyDescent="0.3">
      <c r="A15" s="12" t="s">
        <v>22</v>
      </c>
      <c r="B15" s="34">
        <v>15.6666666666667</v>
      </c>
      <c r="C15" s="12">
        <v>898</v>
      </c>
      <c r="D15" s="34">
        <f>VLOOKUP(A15,UPDATED_SPECART1!C:L,8,FALSE)</f>
        <v>141415.78604856168</v>
      </c>
      <c r="E15" s="12">
        <v>93.5</v>
      </c>
      <c r="F15" s="12">
        <v>4.0199999999999996</v>
      </c>
      <c r="G15" s="12">
        <v>2.48</v>
      </c>
      <c r="H15" s="12">
        <v>0</v>
      </c>
      <c r="I15" s="12">
        <v>11</v>
      </c>
      <c r="J15" s="12">
        <v>5</v>
      </c>
      <c r="K15" s="33"/>
    </row>
    <row r="16" spans="1:11" x14ac:dyDescent="0.3">
      <c r="A16" s="12" t="s">
        <v>23</v>
      </c>
      <c r="B16" s="34">
        <v>16.8095238095238</v>
      </c>
      <c r="C16" s="12">
        <v>2994</v>
      </c>
      <c r="D16" s="34">
        <f>VLOOKUP(A16,UPDATED_SPECART1!C:L,8,FALSE)</f>
        <v>6410.5338207671375</v>
      </c>
      <c r="E16" s="12">
        <v>77.64</v>
      </c>
      <c r="F16" s="12">
        <v>11.53</v>
      </c>
      <c r="G16" s="12">
        <v>10.83</v>
      </c>
      <c r="H16" s="12">
        <v>0</v>
      </c>
      <c r="I16" s="12">
        <v>12</v>
      </c>
      <c r="J16" s="12">
        <v>6</v>
      </c>
      <c r="K16" s="33"/>
    </row>
    <row r="17" spans="1:11" x14ac:dyDescent="0.3">
      <c r="A17" s="12" t="s">
        <v>24</v>
      </c>
      <c r="B17" s="34">
        <v>17.952380952380899</v>
      </c>
      <c r="C17" s="12">
        <v>3182</v>
      </c>
      <c r="D17" s="34">
        <f>VLOOKUP(A17,UPDATED_SPECART1!C:L,8,FALSE)</f>
        <v>26838</v>
      </c>
      <c r="E17" s="12">
        <v>36.869999999999997</v>
      </c>
      <c r="F17" s="12">
        <v>37.32</v>
      </c>
      <c r="G17" s="12">
        <v>25.81</v>
      </c>
      <c r="H17" s="12">
        <v>0</v>
      </c>
      <c r="I17" s="12">
        <v>13</v>
      </c>
      <c r="J17" s="12">
        <v>7</v>
      </c>
      <c r="K17" s="3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2" sqref="D2:D17"/>
    </sheetView>
  </sheetViews>
  <sheetFormatPr defaultRowHeight="14.4" x14ac:dyDescent="0.3"/>
  <cols>
    <col min="1" max="1" width="32.6640625" bestFit="1" customWidth="1"/>
    <col min="2" max="2" width="9.33203125" bestFit="1" customWidth="1"/>
    <col min="3" max="3" width="10.5546875" bestFit="1" customWidth="1"/>
    <col min="4" max="4" width="11.5546875" bestFit="1" customWidth="1"/>
    <col min="5" max="7" width="8.5546875" bestFit="1" customWidth="1"/>
    <col min="8" max="8" width="8.33203125" bestFit="1" customWidth="1"/>
    <col min="9" max="9" width="8.5546875" bestFit="1" customWidth="1"/>
    <col min="10" max="10" width="7.5546875" bestFit="1" customWidth="1"/>
  </cols>
  <sheetData>
    <row r="1" spans="1:10" x14ac:dyDescent="0.3">
      <c r="A1" s="14" t="s">
        <v>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</row>
    <row r="2" spans="1:10" x14ac:dyDescent="0.3">
      <c r="A2" s="14" t="s">
        <v>10</v>
      </c>
      <c r="B2" s="14">
        <v>1</v>
      </c>
      <c r="C2" s="14">
        <v>977</v>
      </c>
      <c r="D2" s="14">
        <f>VLOOKUP(A2,UPDATED_SPECART1!C:L,9,FALSE)</f>
        <v>112272.79277108434</v>
      </c>
      <c r="E2" s="14">
        <v>68</v>
      </c>
      <c r="F2" s="14">
        <v>29</v>
      </c>
      <c r="G2" s="14">
        <v>3</v>
      </c>
      <c r="H2" s="14">
        <v>1</v>
      </c>
      <c r="I2" s="14">
        <v>1</v>
      </c>
      <c r="J2" s="14">
        <v>1</v>
      </c>
    </row>
    <row r="3" spans="1:10" x14ac:dyDescent="0.3">
      <c r="A3" s="14" t="s">
        <v>11</v>
      </c>
      <c r="B3" s="14">
        <v>2</v>
      </c>
      <c r="C3" s="14">
        <v>978</v>
      </c>
      <c r="D3" s="34">
        <f>VLOOKUP(A3,UPDATED_SPECART1!C:L,9,FALSE)</f>
        <v>104439.80722891567</v>
      </c>
      <c r="E3" s="34">
        <v>68</v>
      </c>
      <c r="F3" s="34">
        <v>29</v>
      </c>
      <c r="G3" s="34">
        <v>3</v>
      </c>
      <c r="H3" s="14">
        <v>2</v>
      </c>
      <c r="I3" s="14">
        <v>1</v>
      </c>
      <c r="J3" s="14">
        <v>1</v>
      </c>
    </row>
    <row r="4" spans="1:10" x14ac:dyDescent="0.3">
      <c r="A4" s="14" t="s">
        <v>12</v>
      </c>
      <c r="B4" s="14">
        <v>3</v>
      </c>
      <c r="C4" s="14">
        <v>928</v>
      </c>
      <c r="D4" s="34">
        <f>VLOOKUP(A4,UPDATED_SPECART1!C:L,9,FALSE)</f>
        <v>16902.954234576151</v>
      </c>
      <c r="E4" s="14">
        <v>34.72</v>
      </c>
      <c r="F4" s="14">
        <v>38.47</v>
      </c>
      <c r="G4" s="14">
        <v>26.81</v>
      </c>
      <c r="H4" s="14">
        <v>0</v>
      </c>
      <c r="I4" s="14">
        <v>2</v>
      </c>
      <c r="J4" s="14">
        <v>2</v>
      </c>
    </row>
    <row r="5" spans="1:10" x14ac:dyDescent="0.3">
      <c r="A5" s="14" t="s">
        <v>13</v>
      </c>
      <c r="B5" s="14">
        <v>4</v>
      </c>
      <c r="C5" s="14">
        <v>927</v>
      </c>
      <c r="D5" s="34">
        <f>VLOOKUP(A5,UPDATED_SPECART1!C:L,9,FALSE)</f>
        <v>15113.101727277986</v>
      </c>
      <c r="E5" s="14">
        <v>34.72</v>
      </c>
      <c r="F5" s="14">
        <v>38.47</v>
      </c>
      <c r="G5" s="14">
        <v>26.81</v>
      </c>
      <c r="H5" s="14">
        <v>0</v>
      </c>
      <c r="I5" s="14">
        <v>2</v>
      </c>
      <c r="J5" s="14">
        <v>2</v>
      </c>
    </row>
    <row r="6" spans="1:10" x14ac:dyDescent="0.3">
      <c r="A6" s="14" t="s">
        <v>14</v>
      </c>
      <c r="B6" s="14">
        <v>5</v>
      </c>
      <c r="C6" s="14">
        <v>801</v>
      </c>
      <c r="D6" s="34">
        <f>VLOOKUP(A6,UPDATED_SPECART1!C:L,9,FALSE)</f>
        <v>142054.20956521816</v>
      </c>
      <c r="E6" s="14">
        <v>80.569999999999993</v>
      </c>
      <c r="F6" s="14">
        <v>10.92</v>
      </c>
      <c r="G6" s="14">
        <v>8.51</v>
      </c>
      <c r="H6" s="14">
        <v>0</v>
      </c>
      <c r="I6" s="14">
        <v>3</v>
      </c>
      <c r="J6" s="14">
        <v>3</v>
      </c>
    </row>
    <row r="7" spans="1:10" x14ac:dyDescent="0.3">
      <c r="A7" s="14" t="s">
        <v>32</v>
      </c>
      <c r="B7" s="14">
        <v>7</v>
      </c>
      <c r="C7" s="14">
        <v>932</v>
      </c>
      <c r="D7" s="34">
        <f>VLOOKUP(A7,UPDATED_SPECART1!C:L,9,FALSE)</f>
        <v>46620.192775354539</v>
      </c>
      <c r="E7" s="14">
        <v>70.63</v>
      </c>
      <c r="F7" s="14">
        <v>16.98</v>
      </c>
      <c r="G7" s="14">
        <v>12.39</v>
      </c>
      <c r="H7" s="14">
        <v>0</v>
      </c>
      <c r="I7" s="14">
        <v>4</v>
      </c>
      <c r="J7" s="14">
        <v>4</v>
      </c>
    </row>
    <row r="8" spans="1:10" s="33" customFormat="1" x14ac:dyDescent="0.3">
      <c r="A8" s="34" t="s">
        <v>35</v>
      </c>
      <c r="B8" s="34">
        <v>7.6666666666666696</v>
      </c>
      <c r="C8" s="34">
        <v>934</v>
      </c>
      <c r="D8" s="34">
        <f>VLOOKUP(A8,UPDATED_SPECART1!C:L,9,FALSE)</f>
        <v>2600</v>
      </c>
      <c r="E8" s="34">
        <v>70.63</v>
      </c>
      <c r="F8" s="34">
        <v>16.98</v>
      </c>
      <c r="G8" s="34">
        <v>12.39</v>
      </c>
      <c r="H8" s="34">
        <v>0</v>
      </c>
      <c r="I8" s="34">
        <v>4</v>
      </c>
      <c r="J8" s="34">
        <v>4</v>
      </c>
    </row>
    <row r="9" spans="1:10" x14ac:dyDescent="0.3">
      <c r="A9" s="14" t="s">
        <v>16</v>
      </c>
      <c r="B9" s="34">
        <v>8.8095238095238102</v>
      </c>
      <c r="C9" s="14">
        <v>908</v>
      </c>
      <c r="D9" s="34">
        <f>VLOOKUP(A9,UPDATED_SPECART1!C:L,9,FALSE)</f>
        <v>18003.834373867539</v>
      </c>
      <c r="E9" s="14">
        <v>88.05</v>
      </c>
      <c r="F9" s="14">
        <v>4.9800000000000004</v>
      </c>
      <c r="G9" s="14">
        <v>6.97</v>
      </c>
      <c r="H9" s="14">
        <v>0</v>
      </c>
      <c r="I9" s="14">
        <v>5</v>
      </c>
      <c r="J9" s="14">
        <v>5</v>
      </c>
    </row>
    <row r="10" spans="1:10" x14ac:dyDescent="0.3">
      <c r="A10" s="14" t="s">
        <v>55</v>
      </c>
      <c r="B10" s="34">
        <v>9.9523809523809508</v>
      </c>
      <c r="C10" s="14">
        <v>902</v>
      </c>
      <c r="D10" s="34">
        <f>VLOOKUP(A10,UPDATED_SPECART1!C:L,9,FALSE)</f>
        <v>23564.617637712396</v>
      </c>
      <c r="E10" s="14">
        <v>71.64</v>
      </c>
      <c r="F10" s="14">
        <v>22.64</v>
      </c>
      <c r="G10" s="14">
        <v>5.72</v>
      </c>
      <c r="H10" s="14">
        <v>0</v>
      </c>
      <c r="I10" s="14">
        <v>6</v>
      </c>
      <c r="J10" s="14">
        <v>5</v>
      </c>
    </row>
    <row r="11" spans="1:10" x14ac:dyDescent="0.3">
      <c r="A11" s="14" t="s">
        <v>61</v>
      </c>
      <c r="B11" s="34">
        <v>11.0952380952381</v>
      </c>
      <c r="C11" s="14">
        <v>904</v>
      </c>
      <c r="D11" s="34">
        <f>VLOOKUP(A11,UPDATED_SPECART1!C:L,9,FALSE)</f>
        <v>79160.019973583025</v>
      </c>
      <c r="E11" s="14">
        <v>94.44</v>
      </c>
      <c r="F11" s="14">
        <v>4.4400000000000004</v>
      </c>
      <c r="G11" s="14">
        <v>1.1200000000000001</v>
      </c>
      <c r="H11" s="14">
        <v>0</v>
      </c>
      <c r="I11" s="14">
        <v>7</v>
      </c>
      <c r="J11" s="14">
        <v>5</v>
      </c>
    </row>
    <row r="12" spans="1:10" x14ac:dyDescent="0.3">
      <c r="A12" s="14" t="s">
        <v>19</v>
      </c>
      <c r="B12" s="34">
        <v>12.2380952380952</v>
      </c>
      <c r="C12" s="14">
        <v>900</v>
      </c>
      <c r="D12" s="34">
        <f>VLOOKUP(A12,UPDATED_SPECART1!C:L,9,FALSE)</f>
        <v>79847.223693338936</v>
      </c>
      <c r="E12" s="14">
        <v>91.61</v>
      </c>
      <c r="F12" s="14">
        <v>4.6399999999999997</v>
      </c>
      <c r="G12" s="14">
        <v>3.75</v>
      </c>
      <c r="H12" s="14">
        <v>0</v>
      </c>
      <c r="I12" s="14">
        <v>8</v>
      </c>
      <c r="J12" s="14">
        <v>5</v>
      </c>
    </row>
    <row r="13" spans="1:10" x14ac:dyDescent="0.3">
      <c r="A13" s="14" t="s">
        <v>20</v>
      </c>
      <c r="B13" s="34">
        <v>13.380952380952399</v>
      </c>
      <c r="C13" s="14">
        <v>903</v>
      </c>
      <c r="D13" s="34">
        <f>VLOOKUP(A13,UPDATED_SPECART1!C:L,9,FALSE)</f>
        <v>86251.377507234269</v>
      </c>
      <c r="E13" s="14">
        <v>91.44</v>
      </c>
      <c r="F13" s="14">
        <v>4.5199999999999996</v>
      </c>
      <c r="G13" s="14">
        <v>4.05</v>
      </c>
      <c r="H13" s="14">
        <v>0</v>
      </c>
      <c r="I13" s="14">
        <v>9</v>
      </c>
      <c r="J13" s="14">
        <v>5</v>
      </c>
    </row>
    <row r="14" spans="1:10" x14ac:dyDescent="0.3">
      <c r="A14" s="14" t="s">
        <v>21</v>
      </c>
      <c r="B14" s="34">
        <v>14.523809523809501</v>
      </c>
      <c r="C14" s="14">
        <v>899</v>
      </c>
      <c r="D14" s="34">
        <f>VLOOKUP(A14,UPDATED_SPECART1!C:L,9,FALSE)</f>
        <v>16536.215791516523</v>
      </c>
      <c r="E14" s="14">
        <v>85.77</v>
      </c>
      <c r="F14" s="14">
        <v>8.3000000000000007</v>
      </c>
      <c r="G14" s="14">
        <v>5.93</v>
      </c>
      <c r="H14" s="14">
        <v>0</v>
      </c>
      <c r="I14" s="14">
        <v>10</v>
      </c>
      <c r="J14" s="14">
        <v>5</v>
      </c>
    </row>
    <row r="15" spans="1:10" x14ac:dyDescent="0.3">
      <c r="A15" s="14" t="s">
        <v>22</v>
      </c>
      <c r="B15" s="34">
        <v>15.6666666666667</v>
      </c>
      <c r="C15" s="14">
        <v>898</v>
      </c>
      <c r="D15" s="34">
        <f>VLOOKUP(A15,UPDATED_SPECART1!C:L,9,FALSE)</f>
        <v>149810.41090678459</v>
      </c>
      <c r="E15" s="14">
        <v>93.5</v>
      </c>
      <c r="F15" s="14">
        <v>4.0199999999999996</v>
      </c>
      <c r="G15" s="14">
        <v>2.48</v>
      </c>
      <c r="H15" s="14">
        <v>0</v>
      </c>
      <c r="I15" s="14">
        <v>11</v>
      </c>
      <c r="J15" s="14">
        <v>5</v>
      </c>
    </row>
    <row r="16" spans="1:10" x14ac:dyDescent="0.3">
      <c r="A16" s="14" t="s">
        <v>23</v>
      </c>
      <c r="B16" s="34">
        <v>16.8095238095238</v>
      </c>
      <c r="C16" s="14">
        <v>2994</v>
      </c>
      <c r="D16" s="34">
        <f>VLOOKUP(A16,UPDATED_SPECART1!C:L,9,FALSE)</f>
        <v>6791.0714401515179</v>
      </c>
      <c r="E16" s="14">
        <v>77.64</v>
      </c>
      <c r="F16" s="14">
        <v>11.53</v>
      </c>
      <c r="G16" s="14">
        <v>10.83</v>
      </c>
      <c r="H16" s="14">
        <v>0</v>
      </c>
      <c r="I16" s="14">
        <v>12</v>
      </c>
      <c r="J16" s="14">
        <v>6</v>
      </c>
    </row>
    <row r="17" spans="1:10" x14ac:dyDescent="0.3">
      <c r="A17" s="14" t="s">
        <v>24</v>
      </c>
      <c r="B17" s="34">
        <v>17.952380952380899</v>
      </c>
      <c r="C17" s="14">
        <v>3182</v>
      </c>
      <c r="D17" s="34">
        <f>VLOOKUP(A17,UPDATED_SPECART1!C:L,9,FALSE)</f>
        <v>26838</v>
      </c>
      <c r="E17" s="14">
        <v>36.869999999999997</v>
      </c>
      <c r="F17" s="14">
        <v>37.32</v>
      </c>
      <c r="G17" s="14">
        <v>25.81</v>
      </c>
      <c r="H17" s="14">
        <v>0</v>
      </c>
      <c r="I17" s="14">
        <v>13</v>
      </c>
      <c r="J17" s="14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17" sqref="D17"/>
    </sheetView>
  </sheetViews>
  <sheetFormatPr defaultRowHeight="14.4" x14ac:dyDescent="0.3"/>
  <cols>
    <col min="1" max="1" width="32.6640625" bestFit="1" customWidth="1"/>
    <col min="2" max="2" width="9.33203125" bestFit="1" customWidth="1"/>
    <col min="3" max="3" width="10.5546875" bestFit="1" customWidth="1"/>
    <col min="4" max="4" width="11.5546875" bestFit="1" customWidth="1"/>
    <col min="5" max="7" width="8.5546875" bestFit="1" customWidth="1"/>
    <col min="8" max="8" width="8.33203125" bestFit="1" customWidth="1"/>
    <col min="9" max="9" width="8.5546875" bestFit="1" customWidth="1"/>
    <col min="10" max="10" width="7.5546875" bestFit="1" customWidth="1"/>
  </cols>
  <sheetData>
    <row r="1" spans="1:11" x14ac:dyDescent="0.3">
      <c r="A1" s="16" t="s">
        <v>9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</row>
    <row r="2" spans="1:11" x14ac:dyDescent="0.3">
      <c r="A2" s="16" t="s">
        <v>10</v>
      </c>
      <c r="B2" s="16">
        <v>1</v>
      </c>
      <c r="C2" s="16">
        <v>977</v>
      </c>
      <c r="D2" s="16">
        <f>VLOOKUP(A2,UPDATED_SPECART1!C:L,10,FALSE)</f>
        <v>124030.10662650604</v>
      </c>
      <c r="E2" s="16">
        <v>68</v>
      </c>
      <c r="F2" s="16">
        <v>29</v>
      </c>
      <c r="G2" s="16">
        <v>3</v>
      </c>
      <c r="H2" s="16">
        <v>1</v>
      </c>
      <c r="I2" s="16">
        <v>1</v>
      </c>
      <c r="J2" s="16">
        <v>1</v>
      </c>
    </row>
    <row r="3" spans="1:11" x14ac:dyDescent="0.3">
      <c r="A3" s="16" t="s">
        <v>11</v>
      </c>
      <c r="B3" s="16">
        <v>2</v>
      </c>
      <c r="C3" s="16">
        <v>978</v>
      </c>
      <c r="D3" s="34">
        <f>VLOOKUP(A3,UPDATED_SPECART1!C:L,10,FALSE)</f>
        <v>115376.84337349398</v>
      </c>
      <c r="E3" s="34">
        <v>68</v>
      </c>
      <c r="F3" s="34">
        <v>29</v>
      </c>
      <c r="G3" s="34">
        <v>3</v>
      </c>
      <c r="H3" s="16">
        <v>2</v>
      </c>
      <c r="I3" s="16">
        <v>1</v>
      </c>
      <c r="J3" s="16">
        <v>1</v>
      </c>
      <c r="K3" s="33"/>
    </row>
    <row r="4" spans="1:11" x14ac:dyDescent="0.3">
      <c r="A4" s="16" t="s">
        <v>12</v>
      </c>
      <c r="B4" s="16">
        <v>3</v>
      </c>
      <c r="C4" s="16">
        <v>928</v>
      </c>
      <c r="D4" s="34">
        <f>VLOOKUP(A4,UPDATED_SPECART1!C:L,10,FALSE)</f>
        <v>20368.046751440823</v>
      </c>
      <c r="E4" s="16">
        <v>34.72</v>
      </c>
      <c r="F4" s="16">
        <v>38.47</v>
      </c>
      <c r="G4" s="16">
        <v>26.81</v>
      </c>
      <c r="H4" s="16">
        <v>0</v>
      </c>
      <c r="I4" s="16">
        <v>2</v>
      </c>
      <c r="J4" s="16">
        <v>2</v>
      </c>
      <c r="K4" s="33"/>
    </row>
    <row r="5" spans="1:11" x14ac:dyDescent="0.3">
      <c r="A5" s="16" t="s">
        <v>13</v>
      </c>
      <c r="B5" s="16">
        <v>4</v>
      </c>
      <c r="C5" s="16">
        <v>927</v>
      </c>
      <c r="D5" s="34">
        <f>VLOOKUP(A5,UPDATED_SPECART1!C:L,10,FALSE)</f>
        <v>18211.275867434062</v>
      </c>
      <c r="E5" s="16">
        <v>34.72</v>
      </c>
      <c r="F5" s="16">
        <v>38.47</v>
      </c>
      <c r="G5" s="16">
        <v>26.81</v>
      </c>
      <c r="H5" s="16">
        <v>0</v>
      </c>
      <c r="I5" s="16">
        <v>2</v>
      </c>
      <c r="J5" s="16">
        <v>2</v>
      </c>
      <c r="K5" s="33"/>
    </row>
    <row r="6" spans="1:11" x14ac:dyDescent="0.3">
      <c r="A6" s="16" t="s">
        <v>14</v>
      </c>
      <c r="B6" s="16">
        <v>5</v>
      </c>
      <c r="C6" s="16">
        <v>801</v>
      </c>
      <c r="D6" s="34">
        <f>VLOOKUP(A6,UPDATED_SPECART1!C:L,10,FALSE)</f>
        <v>150029.30088132882</v>
      </c>
      <c r="E6" s="16">
        <v>80.569999999999993</v>
      </c>
      <c r="F6" s="16">
        <v>10.92</v>
      </c>
      <c r="G6" s="16">
        <v>8.51</v>
      </c>
      <c r="H6" s="16">
        <v>0</v>
      </c>
      <c r="I6" s="16">
        <v>3</v>
      </c>
      <c r="J6" s="16">
        <v>3</v>
      </c>
      <c r="K6" s="33"/>
    </row>
    <row r="7" spans="1:11" x14ac:dyDescent="0.3">
      <c r="A7" s="16" t="s">
        <v>32</v>
      </c>
      <c r="B7" s="16">
        <v>7</v>
      </c>
      <c r="C7" s="16">
        <v>932</v>
      </c>
      <c r="D7" s="34">
        <f>VLOOKUP(A7,UPDATED_SPECART1!C:L,10,FALSE)</f>
        <v>49387.628010857487</v>
      </c>
      <c r="E7" s="16">
        <v>70.63</v>
      </c>
      <c r="F7" s="16">
        <v>16.98</v>
      </c>
      <c r="G7" s="16">
        <v>12.39</v>
      </c>
      <c r="H7" s="16">
        <v>0</v>
      </c>
      <c r="I7" s="16">
        <v>4</v>
      </c>
      <c r="J7" s="16">
        <v>4</v>
      </c>
      <c r="K7" s="33"/>
    </row>
    <row r="8" spans="1:11" s="33" customFormat="1" x14ac:dyDescent="0.3">
      <c r="A8" s="34" t="s">
        <v>35</v>
      </c>
      <c r="B8" s="34">
        <v>7.6666666666666696</v>
      </c>
      <c r="C8" s="34">
        <v>934</v>
      </c>
      <c r="D8" s="34">
        <f>VLOOKUP(A8,UPDATED_SPECART1!C:L,10,FALSE)</f>
        <v>2600</v>
      </c>
      <c r="E8" s="34">
        <v>70.63</v>
      </c>
      <c r="F8" s="34">
        <v>16.98</v>
      </c>
      <c r="G8" s="34">
        <v>12.39</v>
      </c>
      <c r="H8" s="34">
        <v>0</v>
      </c>
      <c r="I8" s="34">
        <v>4</v>
      </c>
      <c r="J8" s="34">
        <v>4</v>
      </c>
    </row>
    <row r="9" spans="1:11" x14ac:dyDescent="0.3">
      <c r="A9" s="16" t="s">
        <v>16</v>
      </c>
      <c r="B9" s="34">
        <v>8.8095238095238102</v>
      </c>
      <c r="C9" s="16">
        <v>908</v>
      </c>
      <c r="D9" s="34">
        <f>VLOOKUP(A9,UPDATED_SPECART1!C:L,10,FALSE)</f>
        <v>19072.565381919903</v>
      </c>
      <c r="E9" s="16">
        <v>88.05</v>
      </c>
      <c r="F9" s="16">
        <v>4.9800000000000004</v>
      </c>
      <c r="G9" s="16">
        <v>6.97</v>
      </c>
      <c r="H9" s="16">
        <v>0</v>
      </c>
      <c r="I9" s="16">
        <v>5</v>
      </c>
      <c r="J9" s="16">
        <v>5</v>
      </c>
      <c r="K9" s="33"/>
    </row>
    <row r="10" spans="1:11" x14ac:dyDescent="0.3">
      <c r="A10" s="16" t="s">
        <v>55</v>
      </c>
      <c r="B10" s="34">
        <v>9.9523809523809508</v>
      </c>
      <c r="C10" s="16">
        <v>902</v>
      </c>
      <c r="D10" s="34">
        <f>VLOOKUP(A10,UPDATED_SPECART1!C:L,10,FALSE)</f>
        <v>24963.443967667732</v>
      </c>
      <c r="E10" s="16">
        <v>71.64</v>
      </c>
      <c r="F10" s="16">
        <v>22.64</v>
      </c>
      <c r="G10" s="16">
        <v>5.72</v>
      </c>
      <c r="H10" s="16">
        <v>0</v>
      </c>
      <c r="I10" s="16">
        <v>6</v>
      </c>
      <c r="J10" s="16">
        <v>5</v>
      </c>
      <c r="K10" s="33"/>
    </row>
    <row r="11" spans="1:11" x14ac:dyDescent="0.3">
      <c r="A11" s="16" t="s">
        <v>61</v>
      </c>
      <c r="B11" s="34">
        <v>11.0952380952381</v>
      </c>
      <c r="C11" s="16">
        <v>904</v>
      </c>
      <c r="D11" s="34">
        <f>VLOOKUP(A11,UPDATED_SPECART1!C:L,10,FALSE)</f>
        <v>83859.061643651381</v>
      </c>
      <c r="E11" s="16">
        <v>94.44</v>
      </c>
      <c r="F11" s="16">
        <v>4.4400000000000004</v>
      </c>
      <c r="G11" s="16">
        <v>1.1200000000000001</v>
      </c>
      <c r="H11" s="16">
        <v>0</v>
      </c>
      <c r="I11" s="16">
        <v>7</v>
      </c>
      <c r="J11" s="16">
        <v>5</v>
      </c>
      <c r="K11" s="33"/>
    </row>
    <row r="12" spans="1:11" x14ac:dyDescent="0.3">
      <c r="A12" s="16" t="s">
        <v>19</v>
      </c>
      <c r="B12" s="34">
        <v>12.2380952380952</v>
      </c>
      <c r="C12" s="16">
        <v>900</v>
      </c>
      <c r="D12" s="34">
        <f>VLOOKUP(A12,UPDATED_SPECART1!C:L,10,FALSE)</f>
        <v>84587.058669372054</v>
      </c>
      <c r="E12" s="16">
        <v>91.61</v>
      </c>
      <c r="F12" s="16">
        <v>4.6399999999999997</v>
      </c>
      <c r="G12" s="16">
        <v>3.75</v>
      </c>
      <c r="H12" s="16">
        <v>0</v>
      </c>
      <c r="I12" s="16">
        <v>8</v>
      </c>
      <c r="J12" s="16">
        <v>5</v>
      </c>
      <c r="K12" s="33"/>
    </row>
    <row r="13" spans="1:11" x14ac:dyDescent="0.3">
      <c r="A13" s="16" t="s">
        <v>20</v>
      </c>
      <c r="B13" s="34">
        <v>13.380952380952399</v>
      </c>
      <c r="C13" s="16">
        <v>903</v>
      </c>
      <c r="D13" s="34">
        <f>VLOOKUP(A13,UPDATED_SPECART1!C:L,10,FALSE)</f>
        <v>91371.37137715175</v>
      </c>
      <c r="E13" s="16">
        <v>91.44</v>
      </c>
      <c r="F13" s="16">
        <v>4.5199999999999996</v>
      </c>
      <c r="G13" s="16">
        <v>4.05</v>
      </c>
      <c r="H13" s="16">
        <v>0</v>
      </c>
      <c r="I13" s="16">
        <v>9</v>
      </c>
      <c r="J13" s="16">
        <v>5</v>
      </c>
      <c r="K13" s="33"/>
    </row>
    <row r="14" spans="1:11" x14ac:dyDescent="0.3">
      <c r="A14" s="16" t="s">
        <v>21</v>
      </c>
      <c r="B14" s="34">
        <v>14.523809523809501</v>
      </c>
      <c r="C14" s="16">
        <v>899</v>
      </c>
      <c r="D14" s="34">
        <f>VLOOKUP(A14,UPDATED_SPECART1!C:L,10,FALSE)</f>
        <v>17517.827053053719</v>
      </c>
      <c r="E14" s="16">
        <v>85.77</v>
      </c>
      <c r="F14" s="16">
        <v>8.3000000000000007</v>
      </c>
      <c r="G14" s="16">
        <v>5.93</v>
      </c>
      <c r="H14" s="16">
        <v>0</v>
      </c>
      <c r="I14" s="16">
        <v>10</v>
      </c>
      <c r="J14" s="16">
        <v>5</v>
      </c>
      <c r="K14" s="33"/>
    </row>
    <row r="15" spans="1:11" x14ac:dyDescent="0.3">
      <c r="A15" s="16" t="s">
        <v>22</v>
      </c>
      <c r="B15" s="34">
        <v>15.6666666666667</v>
      </c>
      <c r="C15" s="16">
        <v>898</v>
      </c>
      <c r="D15" s="34">
        <f>VLOOKUP(A15,UPDATED_SPECART1!C:L,10,FALSE)</f>
        <v>158703.35160710235</v>
      </c>
      <c r="E15" s="16">
        <v>93.5</v>
      </c>
      <c r="F15" s="16">
        <v>4.0199999999999996</v>
      </c>
      <c r="G15" s="16">
        <v>2.48</v>
      </c>
      <c r="H15" s="16">
        <v>0</v>
      </c>
      <c r="I15" s="16">
        <v>11</v>
      </c>
      <c r="J15" s="16">
        <v>5</v>
      </c>
      <c r="K15" s="33"/>
    </row>
    <row r="16" spans="1:11" x14ac:dyDescent="0.3">
      <c r="A16" s="16" t="s">
        <v>23</v>
      </c>
      <c r="B16" s="34">
        <v>16.8095238095238</v>
      </c>
      <c r="C16" s="16">
        <v>2994</v>
      </c>
      <c r="D16" s="34">
        <f>VLOOKUP(A16,UPDATED_SPECART1!C:L,10,FALSE)</f>
        <v>7194.1982672080603</v>
      </c>
      <c r="E16" s="16">
        <v>77.64</v>
      </c>
      <c r="F16" s="16">
        <v>11.53</v>
      </c>
      <c r="G16" s="16">
        <v>10.83</v>
      </c>
      <c r="H16" s="16">
        <v>0</v>
      </c>
      <c r="I16" s="16">
        <v>12</v>
      </c>
      <c r="J16" s="16">
        <v>6</v>
      </c>
      <c r="K16" s="33"/>
    </row>
    <row r="17" spans="1:11" x14ac:dyDescent="0.3">
      <c r="A17" s="16" t="s">
        <v>24</v>
      </c>
      <c r="B17" s="34">
        <v>17.952380952380899</v>
      </c>
      <c r="C17" s="16">
        <v>3182</v>
      </c>
      <c r="D17" s="34">
        <f>VLOOKUP(A17,UPDATED_SPECART1!C:L,10,FALSE)</f>
        <v>26838</v>
      </c>
      <c r="E17" s="16">
        <v>36.869999999999997</v>
      </c>
      <c r="F17" s="16">
        <v>37.32</v>
      </c>
      <c r="G17" s="16">
        <v>25.81</v>
      </c>
      <c r="H17" s="16">
        <v>0</v>
      </c>
      <c r="I17" s="16">
        <v>13</v>
      </c>
      <c r="J17" s="16">
        <v>7</v>
      </c>
      <c r="K1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9"/>
  <sheetViews>
    <sheetView tabSelected="1" workbookViewId="0">
      <selection activeCell="G24" sqref="G24"/>
    </sheetView>
  </sheetViews>
  <sheetFormatPr defaultRowHeight="14.4" x14ac:dyDescent="0.3"/>
  <cols>
    <col min="2" max="2" width="8.88671875" style="33"/>
    <col min="3" max="3" width="39.6640625" bestFit="1" customWidth="1"/>
    <col min="4" max="4" width="8" style="33" customWidth="1"/>
    <col min="5" max="5" width="11.109375" customWidth="1"/>
    <col min="7" max="7" width="8.5546875" bestFit="1" customWidth="1"/>
    <col min="8" max="8" width="11.109375" bestFit="1" customWidth="1"/>
    <col min="14" max="14" width="9.109375" bestFit="1" customWidth="1"/>
    <col min="15" max="15" width="23" bestFit="1" customWidth="1"/>
    <col min="16" max="17" width="12" bestFit="1" customWidth="1"/>
    <col min="18" max="18" width="12.5546875" bestFit="1" customWidth="1"/>
    <col min="19" max="19" width="10.109375" bestFit="1" customWidth="1"/>
  </cols>
  <sheetData>
    <row r="1" spans="1:23" s="33" customFormat="1" x14ac:dyDescent="0.3"/>
    <row r="2" spans="1:23" s="33" customFormat="1" x14ac:dyDescent="0.3">
      <c r="C2" s="135" t="s">
        <v>106</v>
      </c>
      <c r="D2" s="135"/>
      <c r="E2" s="135"/>
      <c r="F2" s="135"/>
      <c r="G2" s="135"/>
      <c r="H2" s="135"/>
      <c r="I2" s="135"/>
      <c r="J2" s="135"/>
      <c r="K2" s="135"/>
      <c r="L2" s="135"/>
    </row>
    <row r="3" spans="1:23" ht="18.600000000000001" customHeight="1" thickBot="1" x14ac:dyDescent="0.35">
      <c r="C3" s="136" t="s">
        <v>107</v>
      </c>
      <c r="D3" s="136"/>
      <c r="E3" s="136"/>
      <c r="F3" s="136"/>
      <c r="G3" s="136"/>
      <c r="H3" s="136"/>
      <c r="I3" s="136"/>
      <c r="J3" s="136"/>
      <c r="K3" s="136"/>
      <c r="L3" s="136"/>
    </row>
    <row r="4" spans="1:23" ht="15" thickBot="1" x14ac:dyDescent="0.35">
      <c r="A4" s="24" t="s">
        <v>56</v>
      </c>
      <c r="B4" s="96"/>
      <c r="C4" s="125" t="s">
        <v>44</v>
      </c>
      <c r="D4" s="126" t="s">
        <v>58</v>
      </c>
      <c r="E4" s="127">
        <v>2010</v>
      </c>
      <c r="F4" s="54">
        <v>2015</v>
      </c>
      <c r="G4" s="54">
        <v>2020</v>
      </c>
      <c r="H4" s="54">
        <v>2025</v>
      </c>
      <c r="I4" s="54">
        <v>2030</v>
      </c>
      <c r="J4" s="54">
        <v>2035</v>
      </c>
      <c r="K4" s="54">
        <v>2040</v>
      </c>
      <c r="L4" s="55">
        <v>2045</v>
      </c>
      <c r="P4" s="22">
        <v>2015</v>
      </c>
      <c r="Q4" s="22">
        <v>2020</v>
      </c>
      <c r="R4" s="22">
        <v>2025</v>
      </c>
      <c r="S4" s="22">
        <v>2030</v>
      </c>
      <c r="T4" s="22">
        <v>2035</v>
      </c>
      <c r="U4" s="22">
        <v>2040</v>
      </c>
      <c r="V4" s="22">
        <v>2045</v>
      </c>
    </row>
    <row r="5" spans="1:23" x14ac:dyDescent="0.3">
      <c r="A5" s="26">
        <v>89038</v>
      </c>
      <c r="B5" s="26"/>
      <c r="C5" s="51" t="s">
        <v>10</v>
      </c>
      <c r="D5" s="43">
        <f>VLOOKUP(C5,'2010'!$A$1:$C$17,3,FALSE)</f>
        <v>977</v>
      </c>
      <c r="E5" s="35">
        <v>86786</v>
      </c>
      <c r="F5" s="35">
        <f t="shared" ref="F5:L5" si="0">P5*P15</f>
        <v>103241</v>
      </c>
      <c r="G5" s="35">
        <f t="shared" si="0"/>
        <v>112038.72413793103</v>
      </c>
      <c r="H5" s="35">
        <f t="shared" si="0"/>
        <v>119088.23291925465</v>
      </c>
      <c r="I5" s="35">
        <f t="shared" si="0"/>
        <v>116935.42857142858</v>
      </c>
      <c r="J5" s="35">
        <f t="shared" si="0"/>
        <v>100515.47891566265</v>
      </c>
      <c r="K5" s="35">
        <f t="shared" si="0"/>
        <v>112272.79277108434</v>
      </c>
      <c r="L5" s="128">
        <f t="shared" si="0"/>
        <v>124030.10662650604</v>
      </c>
      <c r="O5" t="s">
        <v>93</v>
      </c>
      <c r="P5" s="58">
        <v>103241</v>
      </c>
      <c r="Q5" s="58">
        <v>125935</v>
      </c>
      <c r="R5" s="58">
        <v>148629.5</v>
      </c>
      <c r="S5" s="58">
        <v>171324</v>
      </c>
      <c r="T5" s="58">
        <v>194018.25</v>
      </c>
      <c r="U5" s="58">
        <v>216712.6</v>
      </c>
      <c r="V5" s="58">
        <v>239406.95</v>
      </c>
    </row>
    <row r="6" spans="1:23" x14ac:dyDescent="0.3">
      <c r="A6" s="26">
        <v>0</v>
      </c>
      <c r="B6" s="26"/>
      <c r="C6" s="129" t="s">
        <v>45</v>
      </c>
      <c r="D6" s="124">
        <f>VLOOKUP(C6,'2010'!$A$1:$C$17,3,FALSE)</f>
        <v>978</v>
      </c>
      <c r="E6" s="35">
        <v>0</v>
      </c>
      <c r="F6" s="35">
        <v>0</v>
      </c>
      <c r="G6" s="35">
        <f t="shared" ref="G6:L6" si="1">Q5-G5</f>
        <v>13896.275862068971</v>
      </c>
      <c r="H6" s="35">
        <f t="shared" si="1"/>
        <v>29541.267080745354</v>
      </c>
      <c r="I6" s="35">
        <f t="shared" si="1"/>
        <v>54388.57142857142</v>
      </c>
      <c r="J6" s="35">
        <f t="shared" si="1"/>
        <v>93502.77108433735</v>
      </c>
      <c r="K6" s="35">
        <f t="shared" si="1"/>
        <v>104439.80722891567</v>
      </c>
      <c r="L6" s="128">
        <f t="shared" si="1"/>
        <v>115376.84337349398</v>
      </c>
      <c r="O6" t="s">
        <v>62</v>
      </c>
      <c r="Q6" s="58">
        <f>G9+'2015_TEA'!$D$32</f>
        <v>122085.09404628616</v>
      </c>
      <c r="R6" s="58">
        <f>H9+'2015_TEA'!$D$32</f>
        <v>128417.36151947227</v>
      </c>
      <c r="S6" s="58">
        <f>I9+'2015_TEA'!$D$32</f>
        <v>135125.52061992741</v>
      </c>
      <c r="T6" s="58">
        <f>J9+'2015_TEA'!$D$32</f>
        <v>142231.8847631934</v>
      </c>
      <c r="U6" s="58">
        <f>K9+'2015_TEA'!$D$32</f>
        <v>149760.09191815933</v>
      </c>
      <c r="V6" s="58">
        <f>L9+'2015_TEA'!$D$32</f>
        <v>157735.18323426999</v>
      </c>
    </row>
    <row r="7" spans="1:23" x14ac:dyDescent="0.3">
      <c r="A7" s="26">
        <v>50000</v>
      </c>
      <c r="B7" s="26"/>
      <c r="C7" s="46" t="s">
        <v>12</v>
      </c>
      <c r="D7" s="44">
        <f>VLOOKUP(C7,'2010'!$A$1:$C$17,3,FALSE)</f>
        <v>928</v>
      </c>
      <c r="E7" s="35">
        <f>'2010_TEA'!C12*UPDATED_SPECART1!S24</f>
        <v>3409.0191534346068</v>
      </c>
      <c r="F7" s="35">
        <f>S26*S24</f>
        <v>6653.1724086053619</v>
      </c>
      <c r="G7" s="18">
        <f>(F7*(1.038)^5)</f>
        <v>8017.0675955964434</v>
      </c>
      <c r="H7" s="18">
        <f t="shared" ref="H7:L8" si="2">(G7*(1.038)^5)</f>
        <v>9660.5602387862255</v>
      </c>
      <c r="I7" s="18">
        <f t="shared" si="2"/>
        <v>11640.967599983695</v>
      </c>
      <c r="J7" s="18">
        <f t="shared" si="2"/>
        <v>14027.356935242939</v>
      </c>
      <c r="K7" s="18">
        <f t="shared" si="2"/>
        <v>16902.954234576151</v>
      </c>
      <c r="L7" s="47">
        <f t="shared" si="2"/>
        <v>20368.046751440823</v>
      </c>
      <c r="N7" s="33"/>
    </row>
    <row r="8" spans="1:23" x14ac:dyDescent="0.3">
      <c r="A8" s="26">
        <v>0</v>
      </c>
      <c r="B8" s="26"/>
      <c r="C8" s="129" t="s">
        <v>46</v>
      </c>
      <c r="D8" s="124">
        <f>VLOOKUP(C8,'2010'!$A$1:$C$17,3,FALSE)</f>
        <v>927</v>
      </c>
      <c r="E8" s="35">
        <f>'2010_TEA'!C12*UPDATED_SPECART1!S23</f>
        <v>3048.0383808119691</v>
      </c>
      <c r="F8" s="35">
        <f>S26*S23</f>
        <v>5948.6685004855481</v>
      </c>
      <c r="G8" s="18">
        <f>(F8*(1.038)^5)</f>
        <v>7168.1409323623611</v>
      </c>
      <c r="H8" s="18">
        <f t="shared" si="2"/>
        <v>8637.604267579336</v>
      </c>
      <c r="I8" s="18">
        <f t="shared" si="2"/>
        <v>10408.306447557048</v>
      </c>
      <c r="J8" s="18">
        <f t="shared" si="2"/>
        <v>12542.001201985791</v>
      </c>
      <c r="K8" s="18">
        <f t="shared" si="2"/>
        <v>15113.101727277986</v>
      </c>
      <c r="L8" s="47">
        <f t="shared" si="2"/>
        <v>18211.275867434062</v>
      </c>
    </row>
    <row r="9" spans="1:23" x14ac:dyDescent="0.3">
      <c r="A9" s="26">
        <v>84770</v>
      </c>
      <c r="B9" s="26"/>
      <c r="C9" s="46" t="s">
        <v>14</v>
      </c>
      <c r="D9" s="44">
        <f>VLOOKUP(C9,'2010'!$A$1:$C$17,3,FALSE)</f>
        <v>801</v>
      </c>
      <c r="E9" s="35">
        <f>'2010_TEA'!C3</f>
        <v>65063.013698630137</v>
      </c>
      <c r="F9" s="35">
        <f>'2015_TEA'!D22</f>
        <v>100695.89041095891</v>
      </c>
      <c r="G9" s="18">
        <v>114379.21169334499</v>
      </c>
      <c r="H9" s="18">
        <v>120711.47916653109</v>
      </c>
      <c r="I9" s="18">
        <v>127419.63826698624</v>
      </c>
      <c r="J9" s="18">
        <v>134526.00241025223</v>
      </c>
      <c r="K9" s="18">
        <v>142054.20956521816</v>
      </c>
      <c r="L9" s="47">
        <v>150029.30088132882</v>
      </c>
      <c r="O9" s="135" t="s">
        <v>100</v>
      </c>
      <c r="P9" s="135"/>
      <c r="Q9" s="135"/>
      <c r="R9" s="135"/>
      <c r="S9" s="135"/>
      <c r="T9" s="135"/>
      <c r="U9" s="135"/>
      <c r="V9" s="135"/>
    </row>
    <row r="10" spans="1:23" ht="15" thickBot="1" x14ac:dyDescent="0.35">
      <c r="A10" s="26">
        <v>17270</v>
      </c>
      <c r="B10" s="26"/>
      <c r="C10" s="46" t="s">
        <v>32</v>
      </c>
      <c r="D10" s="44">
        <f>VLOOKUP(C10,'2010'!$A$1:$C$17,3,FALSE)</f>
        <v>932</v>
      </c>
      <c r="E10" s="35">
        <f>'2010_TEA'!C4</f>
        <v>36164.383561643837</v>
      </c>
      <c r="F10" s="35">
        <f>'2015_TEA'!D23</f>
        <v>34942.465753424658</v>
      </c>
      <c r="G10" s="18">
        <f t="shared" ref="G10:L10" si="3">(F10*(1.0116)^5)</f>
        <v>37016.695935340649</v>
      </c>
      <c r="H10" s="18">
        <f t="shared" si="3"/>
        <v>39214.055116736294</v>
      </c>
      <c r="I10" s="18">
        <f t="shared" si="3"/>
        <v>41541.852395051712</v>
      </c>
      <c r="J10" s="18">
        <f t="shared" si="3"/>
        <v>44007.830745250722</v>
      </c>
      <c r="K10" s="18">
        <f t="shared" si="3"/>
        <v>46620.192775354539</v>
      </c>
      <c r="L10" s="47">
        <f t="shared" si="3"/>
        <v>49387.628010857487</v>
      </c>
      <c r="O10" s="135" t="s">
        <v>101</v>
      </c>
      <c r="P10" s="135"/>
      <c r="Q10" s="135"/>
      <c r="R10" s="135"/>
      <c r="S10" s="135"/>
      <c r="T10" s="135"/>
      <c r="U10" s="135"/>
      <c r="V10" s="135"/>
    </row>
    <row r="11" spans="1:23" s="33" customFormat="1" ht="15" thickBot="1" x14ac:dyDescent="0.35">
      <c r="A11" s="26">
        <v>0</v>
      </c>
      <c r="B11" s="26"/>
      <c r="C11" s="46" t="s">
        <v>35</v>
      </c>
      <c r="D11" s="44">
        <f>VLOOKUP(C11,'2010'!$A$1:$C$17,3,FALSE)</f>
        <v>934</v>
      </c>
      <c r="E11" s="35">
        <v>2600</v>
      </c>
      <c r="F11" s="35">
        <v>2600</v>
      </c>
      <c r="G11" s="18">
        <v>2600</v>
      </c>
      <c r="H11" s="18">
        <v>2600</v>
      </c>
      <c r="I11" s="18">
        <v>2600</v>
      </c>
      <c r="J11" s="18">
        <v>2600</v>
      </c>
      <c r="K11" s="18">
        <v>2600</v>
      </c>
      <c r="L11" s="47">
        <v>2600</v>
      </c>
      <c r="O11"/>
      <c r="P11" s="101">
        <v>2015</v>
      </c>
      <c r="Q11" s="54">
        <v>2020</v>
      </c>
      <c r="R11" s="54">
        <v>2025</v>
      </c>
      <c r="S11" s="54">
        <v>2030</v>
      </c>
      <c r="T11" s="54">
        <v>2035</v>
      </c>
      <c r="U11" s="54">
        <v>2040</v>
      </c>
      <c r="V11" s="55">
        <v>2045</v>
      </c>
      <c r="W11"/>
    </row>
    <row r="12" spans="1:23" x14ac:dyDescent="0.3">
      <c r="A12" s="26">
        <v>2542</v>
      </c>
      <c r="B12" s="26"/>
      <c r="C12" s="46" t="s">
        <v>16</v>
      </c>
      <c r="D12" s="44">
        <f>VLOOKUP(C12,'2010'!$A$1:$C$17,3,FALSE)</f>
        <v>908</v>
      </c>
      <c r="E12" s="35">
        <f>'2010_TEA'!C5</f>
        <v>11988.235294117647</v>
      </c>
      <c r="F12" s="35">
        <f>'2015_TEA'!D24</f>
        <v>13494.117647058823</v>
      </c>
      <c r="G12" s="18">
        <f t="shared" ref="G12:L19" si="4">(F12*(1.0116)^5)</f>
        <v>14295.146008919961</v>
      </c>
      <c r="H12" s="18">
        <f t="shared" si="4"/>
        <v>15143.724455439342</v>
      </c>
      <c r="I12" s="18">
        <f t="shared" si="4"/>
        <v>16042.675621443219</v>
      </c>
      <c r="J12" s="18">
        <f t="shared" si="4"/>
        <v>16994.989697029716</v>
      </c>
      <c r="K12" s="18">
        <f t="shared" si="4"/>
        <v>18003.834373867539</v>
      </c>
      <c r="L12" s="47">
        <f t="shared" si="4"/>
        <v>19072.565381919903</v>
      </c>
      <c r="O12" s="97" t="s">
        <v>102</v>
      </c>
      <c r="P12" s="98">
        <v>129</v>
      </c>
      <c r="Q12" s="98">
        <v>129</v>
      </c>
      <c r="R12" s="98">
        <v>129</v>
      </c>
      <c r="S12" s="98">
        <v>129</v>
      </c>
      <c r="T12" s="98">
        <v>129</v>
      </c>
      <c r="U12" s="98">
        <v>129</v>
      </c>
      <c r="V12" s="99">
        <v>129</v>
      </c>
    </row>
    <row r="13" spans="1:23" ht="15" thickBot="1" x14ac:dyDescent="0.35">
      <c r="A13" s="26">
        <v>17662</v>
      </c>
      <c r="B13" s="26"/>
      <c r="C13" s="46" t="s">
        <v>55</v>
      </c>
      <c r="D13" s="44">
        <f>VLOOKUP(C13,'2010'!$A$1:$C$17,3,FALSE)</f>
        <v>902</v>
      </c>
      <c r="E13" s="35">
        <v>17662</v>
      </c>
      <c r="F13" s="35">
        <v>17662</v>
      </c>
      <c r="G13" s="18">
        <f t="shared" si="4"/>
        <v>18710.439275336765</v>
      </c>
      <c r="H13" s="18">
        <f t="shared" si="4"/>
        <v>19821.115268716145</v>
      </c>
      <c r="I13" s="18">
        <f t="shared" si="4"/>
        <v>20997.722432610339</v>
      </c>
      <c r="J13" s="18">
        <f t="shared" si="4"/>
        <v>22244.174526991977</v>
      </c>
      <c r="K13" s="18">
        <f t="shared" si="4"/>
        <v>23564.617637712396</v>
      </c>
      <c r="L13" s="47">
        <f t="shared" si="4"/>
        <v>24963.443967667732</v>
      </c>
      <c r="O13" s="103" t="s">
        <v>103</v>
      </c>
      <c r="P13" s="104">
        <v>0</v>
      </c>
      <c r="Q13" s="104">
        <v>16</v>
      </c>
      <c r="R13" s="104">
        <v>32</v>
      </c>
      <c r="S13" s="104">
        <v>60</v>
      </c>
      <c r="T13" s="104">
        <v>120</v>
      </c>
      <c r="U13" s="104">
        <v>120</v>
      </c>
      <c r="V13" s="105">
        <v>120</v>
      </c>
    </row>
    <row r="14" spans="1:23" ht="15" thickBot="1" x14ac:dyDescent="0.35">
      <c r="A14" s="26">
        <v>15709</v>
      </c>
      <c r="B14" s="26"/>
      <c r="C14" s="46" t="s">
        <v>61</v>
      </c>
      <c r="D14" s="44">
        <f>VLOOKUP(C14,'2010'!$A$1:$C$17,3,FALSE)</f>
        <v>904</v>
      </c>
      <c r="E14" s="35">
        <f>'2010_TEA'!C6</f>
        <v>52619.178082191778</v>
      </c>
      <c r="F14" s="35">
        <f>'2015_TEA'!D25</f>
        <v>59331.506849315068</v>
      </c>
      <c r="G14" s="18">
        <f t="shared" si="4"/>
        <v>62853.502209168662</v>
      </c>
      <c r="H14" s="18">
        <f t="shared" si="4"/>
        <v>66584.567791127585</v>
      </c>
      <c r="I14" s="18">
        <f t="shared" si="4"/>
        <v>70537.114275304993</v>
      </c>
      <c r="J14" s="18">
        <f t="shared" si="4"/>
        <v>74724.289055915753</v>
      </c>
      <c r="K14" s="18">
        <f t="shared" si="4"/>
        <v>79160.019973583025</v>
      </c>
      <c r="L14" s="47">
        <f t="shared" si="4"/>
        <v>83859.061643651381</v>
      </c>
      <c r="O14" s="108" t="s">
        <v>96</v>
      </c>
      <c r="P14" s="109">
        <f>P12+P13</f>
        <v>129</v>
      </c>
      <c r="Q14" s="109">
        <f t="shared" ref="Q14:V14" si="5">Q12+Q13</f>
        <v>145</v>
      </c>
      <c r="R14" s="109">
        <f t="shared" si="5"/>
        <v>161</v>
      </c>
      <c r="S14" s="109">
        <f t="shared" si="5"/>
        <v>189</v>
      </c>
      <c r="T14" s="109">
        <f t="shared" si="5"/>
        <v>249</v>
      </c>
      <c r="U14" s="109">
        <f t="shared" si="5"/>
        <v>249</v>
      </c>
      <c r="V14" s="110">
        <f t="shared" si="5"/>
        <v>249</v>
      </c>
    </row>
    <row r="15" spans="1:23" x14ac:dyDescent="0.3">
      <c r="A15" s="26">
        <v>13105</v>
      </c>
      <c r="B15" s="26"/>
      <c r="C15" s="46" t="s">
        <v>19</v>
      </c>
      <c r="D15" s="44">
        <f>VLOOKUP(C15,'2010'!$A$1:$C$17,3,FALSE)</f>
        <v>900</v>
      </c>
      <c r="E15" s="35">
        <f>'2010_TEA'!C7</f>
        <v>53073.972602739726</v>
      </c>
      <c r="F15" s="35">
        <f>'2015_TEA'!D26</f>
        <v>59846.575342465752</v>
      </c>
      <c r="G15" s="18">
        <f t="shared" si="4"/>
        <v>63399.145837508324</v>
      </c>
      <c r="H15" s="18">
        <f t="shared" si="4"/>
        <v>67162.601534419606</v>
      </c>
      <c r="I15" s="18">
        <f t="shared" si="4"/>
        <v>71149.460852870456</v>
      </c>
      <c r="J15" s="18">
        <f t="shared" si="4"/>
        <v>75372.985322193577</v>
      </c>
      <c r="K15" s="18">
        <f t="shared" si="4"/>
        <v>79847.223693338936</v>
      </c>
      <c r="L15" s="47">
        <f t="shared" si="4"/>
        <v>84587.058669372054</v>
      </c>
      <c r="O15" s="102" t="s">
        <v>94</v>
      </c>
      <c r="P15" s="106">
        <f>P12/P14</f>
        <v>1</v>
      </c>
      <c r="Q15" s="106">
        <f t="shared" ref="Q15:V15" si="6">Q12/Q14</f>
        <v>0.8896551724137931</v>
      </c>
      <c r="R15" s="106">
        <f t="shared" si="6"/>
        <v>0.80124223602484468</v>
      </c>
      <c r="S15" s="106">
        <f t="shared" si="6"/>
        <v>0.68253968253968256</v>
      </c>
      <c r="T15" s="106">
        <f t="shared" si="6"/>
        <v>0.51807228915662651</v>
      </c>
      <c r="U15" s="106">
        <f t="shared" si="6"/>
        <v>0.51807228915662651</v>
      </c>
      <c r="V15" s="107">
        <f t="shared" si="6"/>
        <v>0.51807228915662651</v>
      </c>
    </row>
    <row r="16" spans="1:23" ht="15" thickBot="1" x14ac:dyDescent="0.35">
      <c r="A16" s="26">
        <v>31450</v>
      </c>
      <c r="B16" s="26"/>
      <c r="C16" s="46" t="s">
        <v>20</v>
      </c>
      <c r="D16" s="44">
        <f>VLOOKUP(C16,'2010'!$A$1:$C$17,3,FALSE)</f>
        <v>903</v>
      </c>
      <c r="E16" s="35">
        <f>'2010_TEA'!C8</f>
        <v>59315.068493150684</v>
      </c>
      <c r="F16" s="35">
        <f>'2015_TEA'!D27</f>
        <v>64646.575342465752</v>
      </c>
      <c r="G16" s="18">
        <f t="shared" si="4"/>
        <v>68484.080076077938</v>
      </c>
      <c r="H16" s="18">
        <f t="shared" si="4"/>
        <v>72549.384078289921</v>
      </c>
      <c r="I16" s="18">
        <f t="shared" si="4"/>
        <v>76856.009809756957</v>
      </c>
      <c r="J16" s="18">
        <f t="shared" si="4"/>
        <v>81418.282441973977</v>
      </c>
      <c r="K16" s="18">
        <f t="shared" si="4"/>
        <v>86251.377507234269</v>
      </c>
      <c r="L16" s="47">
        <f t="shared" si="4"/>
        <v>91371.37137715175</v>
      </c>
      <c r="O16" s="103" t="s">
        <v>95</v>
      </c>
      <c r="P16" s="114">
        <f>1-P15</f>
        <v>0</v>
      </c>
      <c r="Q16" s="114">
        <f t="shared" ref="Q16:V16" si="7">1-Q15</f>
        <v>0.1103448275862069</v>
      </c>
      <c r="R16" s="114">
        <f t="shared" si="7"/>
        <v>0.19875776397515532</v>
      </c>
      <c r="S16" s="114">
        <f t="shared" si="7"/>
        <v>0.31746031746031744</v>
      </c>
      <c r="T16" s="114">
        <f t="shared" si="7"/>
        <v>0.48192771084337349</v>
      </c>
      <c r="U16" s="114">
        <f t="shared" si="7"/>
        <v>0.48192771084337349</v>
      </c>
      <c r="V16" s="115">
        <f t="shared" si="7"/>
        <v>0.48192771084337349</v>
      </c>
    </row>
    <row r="17" spans="1:23" x14ac:dyDescent="0.3">
      <c r="A17" s="26">
        <v>3903</v>
      </c>
      <c r="B17" s="26"/>
      <c r="C17" s="46" t="s">
        <v>21</v>
      </c>
      <c r="D17" s="44">
        <f>VLOOKUP(C17,'2010'!$A$1:$C$17,3,FALSE)</f>
        <v>899</v>
      </c>
      <c r="E17" s="35">
        <f>'2010_TEA'!C9</f>
        <v>11011.764705882353</v>
      </c>
      <c r="F17" s="35">
        <f>'2015_TEA'!D28</f>
        <v>12394.117647058823</v>
      </c>
      <c r="G17" s="18">
        <f t="shared" si="4"/>
        <v>13129.848579247759</v>
      </c>
      <c r="H17" s="18">
        <f t="shared" si="4"/>
        <v>13909.253455802394</v>
      </c>
      <c r="I17" s="18">
        <f t="shared" si="4"/>
        <v>14734.924818823392</v>
      </c>
      <c r="J17" s="18">
        <f t="shared" si="4"/>
        <v>15609.609107080039</v>
      </c>
      <c r="K17" s="18">
        <f t="shared" si="4"/>
        <v>16536.215791516523</v>
      </c>
      <c r="L17" s="47">
        <f t="shared" si="4"/>
        <v>17517.827053053719</v>
      </c>
      <c r="O17" s="113" t="s">
        <v>97</v>
      </c>
      <c r="P17" s="30">
        <f t="shared" ref="P17:V17" si="8">P19*P15</f>
        <v>103241</v>
      </c>
      <c r="Q17" s="30">
        <f t="shared" si="8"/>
        <v>112038.72413793103</v>
      </c>
      <c r="R17" s="30">
        <f t="shared" si="8"/>
        <v>119088.23291925465</v>
      </c>
      <c r="S17" s="30">
        <f t="shared" si="8"/>
        <v>116935.42857142858</v>
      </c>
      <c r="T17" s="30">
        <f t="shared" si="8"/>
        <v>100515.47891566265</v>
      </c>
      <c r="U17" s="30">
        <f t="shared" si="8"/>
        <v>112272.79277108434</v>
      </c>
      <c r="V17" s="90">
        <f t="shared" si="8"/>
        <v>124030.10662650604</v>
      </c>
      <c r="W17" s="33"/>
    </row>
    <row r="18" spans="1:23" ht="15" thickBot="1" x14ac:dyDescent="0.35">
      <c r="A18" s="26">
        <v>28339</v>
      </c>
      <c r="B18" s="26"/>
      <c r="C18" s="46" t="s">
        <v>22</v>
      </c>
      <c r="D18" s="44">
        <f>VLOOKUP(C18,'2010'!$A$1:$C$17,3,FALSE)</f>
        <v>898</v>
      </c>
      <c r="E18" s="35">
        <f>'2010_TEA'!C10</f>
        <v>92997.260273972599</v>
      </c>
      <c r="F18" s="35">
        <f>'2015_TEA'!D29</f>
        <v>112284.93150684932</v>
      </c>
      <c r="G18" s="18">
        <f t="shared" si="4"/>
        <v>118950.3109780462</v>
      </c>
      <c r="H18" s="18">
        <f t="shared" si="4"/>
        <v>126011.35603766037</v>
      </c>
      <c r="I18" s="18">
        <f t="shared" si="4"/>
        <v>133491.55390926765</v>
      </c>
      <c r="J18" s="18">
        <f t="shared" si="4"/>
        <v>141415.78604856168</v>
      </c>
      <c r="K18" s="18">
        <f t="shared" si="4"/>
        <v>149810.41090678459</v>
      </c>
      <c r="L18" s="47">
        <f t="shared" si="4"/>
        <v>158703.35160710235</v>
      </c>
      <c r="O18" s="100" t="s">
        <v>98</v>
      </c>
      <c r="P18" s="92">
        <f t="shared" ref="P18:V18" si="9">P19-P17</f>
        <v>0</v>
      </c>
      <c r="Q18" s="92">
        <f t="shared" si="9"/>
        <v>13896.275862068971</v>
      </c>
      <c r="R18" s="92">
        <f t="shared" si="9"/>
        <v>29541.267080745354</v>
      </c>
      <c r="S18" s="92">
        <f t="shared" si="9"/>
        <v>54388.57142857142</v>
      </c>
      <c r="T18" s="92">
        <f t="shared" si="9"/>
        <v>93502.77108433735</v>
      </c>
      <c r="U18" s="92">
        <f t="shared" si="9"/>
        <v>104439.80722891567</v>
      </c>
      <c r="V18" s="93">
        <f t="shared" si="9"/>
        <v>115376.84337349398</v>
      </c>
    </row>
    <row r="19" spans="1:23" ht="15" thickBot="1" x14ac:dyDescent="0.35">
      <c r="A19" s="26">
        <v>5090</v>
      </c>
      <c r="B19" s="26"/>
      <c r="C19" s="46" t="s">
        <v>23</v>
      </c>
      <c r="D19" s="44">
        <f>VLOOKUP(C19,'2010'!$A$1:$C$17,3,FALSE)</f>
        <v>2994</v>
      </c>
      <c r="E19" s="35">
        <v>5090</v>
      </c>
      <c r="F19" s="35">
        <v>5090</v>
      </c>
      <c r="G19" s="18">
        <f t="shared" si="4"/>
        <v>5392.1490154831918</v>
      </c>
      <c r="H19" s="18">
        <f t="shared" si="4"/>
        <v>5712.2339892291466</v>
      </c>
      <c r="I19" s="18">
        <f t="shared" si="4"/>
        <v>6051.3196230317426</v>
      </c>
      <c r="J19" s="18">
        <f t="shared" si="4"/>
        <v>6410.5338207671375</v>
      </c>
      <c r="K19" s="18">
        <f t="shared" si="4"/>
        <v>6791.0714401515179</v>
      </c>
      <c r="L19" s="47">
        <f t="shared" si="4"/>
        <v>7194.1982672080603</v>
      </c>
      <c r="O19" s="108" t="s">
        <v>99</v>
      </c>
      <c r="P19" s="111">
        <f t="shared" ref="P19:V19" si="10">P5</f>
        <v>103241</v>
      </c>
      <c r="Q19" s="111">
        <f t="shared" si="10"/>
        <v>125935</v>
      </c>
      <c r="R19" s="111">
        <f t="shared" si="10"/>
        <v>148629.5</v>
      </c>
      <c r="S19" s="111">
        <f t="shared" si="10"/>
        <v>171324</v>
      </c>
      <c r="T19" s="111">
        <f t="shared" si="10"/>
        <v>194018.25</v>
      </c>
      <c r="U19" s="111">
        <f t="shared" si="10"/>
        <v>216712.6</v>
      </c>
      <c r="V19" s="112">
        <f t="shared" si="10"/>
        <v>239406.95</v>
      </c>
    </row>
    <row r="20" spans="1:23" ht="15" thickBot="1" x14ac:dyDescent="0.35">
      <c r="A20" s="26">
        <v>15336</v>
      </c>
      <c r="B20" s="26"/>
      <c r="C20" s="48" t="s">
        <v>24</v>
      </c>
      <c r="D20" s="130">
        <f>VLOOKUP(C20,'2010'!$A$1:$C$17,3,FALSE)</f>
        <v>3182</v>
      </c>
      <c r="E20" s="131">
        <v>15336</v>
      </c>
      <c r="F20" s="131">
        <v>15336</v>
      </c>
      <c r="G20" s="131">
        <v>15336</v>
      </c>
      <c r="H20" s="49">
        <v>26838</v>
      </c>
      <c r="I20" s="49">
        <v>26838</v>
      </c>
      <c r="J20" s="49">
        <v>26838</v>
      </c>
      <c r="K20" s="49">
        <v>26838</v>
      </c>
      <c r="L20" s="50">
        <v>26838</v>
      </c>
    </row>
    <row r="21" spans="1:23" x14ac:dyDescent="0.3">
      <c r="C21" s="140" t="s">
        <v>36</v>
      </c>
      <c r="D21" s="23"/>
      <c r="E21" s="56"/>
    </row>
    <row r="22" spans="1:23" x14ac:dyDescent="0.3">
      <c r="C22" s="41" t="s">
        <v>49</v>
      </c>
      <c r="D22" s="32"/>
      <c r="E22" s="56"/>
      <c r="Q22" s="33" t="s">
        <v>52</v>
      </c>
    </row>
    <row r="23" spans="1:23" x14ac:dyDescent="0.3">
      <c r="C23" t="s">
        <v>57</v>
      </c>
      <c r="D23" s="41"/>
      <c r="Q23" s="33" t="s">
        <v>54</v>
      </c>
      <c r="R23" s="26">
        <f>950282+92000</f>
        <v>1042282</v>
      </c>
      <c r="S23" s="132">
        <f>R23/$R$25</f>
        <v>0.47204757966704741</v>
      </c>
    </row>
    <row r="24" spans="1:23" x14ac:dyDescent="0.3">
      <c r="C24" s="41" t="s">
        <v>105</v>
      </c>
      <c r="Q24" t="s">
        <v>53</v>
      </c>
      <c r="R24" s="26">
        <f>1103538+62182</f>
        <v>1165720</v>
      </c>
      <c r="S24" s="132">
        <f>R24/$R$25</f>
        <v>0.52795242033295264</v>
      </c>
    </row>
    <row r="25" spans="1:23" x14ac:dyDescent="0.3">
      <c r="C25" s="41" t="s">
        <v>50</v>
      </c>
      <c r="D25" s="41"/>
      <c r="R25" s="26">
        <f>SUM(R23:R24)</f>
        <v>2208002</v>
      </c>
      <c r="S25" s="132"/>
    </row>
    <row r="26" spans="1:23" x14ac:dyDescent="0.3">
      <c r="C26" s="41" t="s">
        <v>63</v>
      </c>
      <c r="D26" s="41"/>
      <c r="Q26" s="133" t="s">
        <v>104</v>
      </c>
      <c r="R26" s="133"/>
      <c r="S26" s="134">
        <f>OCCC_Attendance!F44</f>
        <v>12601.84090909091</v>
      </c>
    </row>
    <row r="27" spans="1:23" x14ac:dyDescent="0.3">
      <c r="C27" s="41" t="s">
        <v>48</v>
      </c>
      <c r="D27" s="41"/>
    </row>
    <row r="28" spans="1:23" x14ac:dyDescent="0.3">
      <c r="C28" s="42" t="str">
        <f ca="1">CELL("filename")</f>
        <v>X:\60328561 District 5 On Call Modeling\400-Technical\413 TWO#14 Interstate Access Plan BtU south\SPEC_ATR_UPDATE\[Special Attraction report tables 110316.xlsx]UPDATED_SPECART1</v>
      </c>
      <c r="D28" s="58"/>
      <c r="E28" s="58"/>
      <c r="F28" s="58"/>
      <c r="G28" s="58"/>
      <c r="H28" s="58"/>
    </row>
    <row r="29" spans="1:23" x14ac:dyDescent="0.3">
      <c r="D29" s="42"/>
    </row>
  </sheetData>
  <mergeCells count="4">
    <mergeCell ref="O9:V9"/>
    <mergeCell ref="O10:V10"/>
    <mergeCell ref="C2:L2"/>
    <mergeCell ref="C3:L3"/>
  </mergeCells>
  <pageMargins left="0.7" right="0.7" top="0.75" bottom="0.75" header="0.3" footer="0.3"/>
  <pageSetup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I21" sqref="I21"/>
    </sheetView>
  </sheetViews>
  <sheetFormatPr defaultRowHeight="14.4" x14ac:dyDescent="0.3"/>
  <cols>
    <col min="1" max="1" width="10.109375" style="33" bestFit="1" customWidth="1"/>
    <col min="2" max="2" width="39.6640625" style="33" bestFit="1" customWidth="1"/>
    <col min="3" max="7" width="13.5546875" style="33" customWidth="1"/>
    <col min="8" max="8" width="15.33203125" style="33" customWidth="1"/>
    <col min="9" max="9" width="13.5546875" style="33" customWidth="1"/>
    <col min="10" max="16384" width="8.88671875" style="33"/>
  </cols>
  <sheetData>
    <row r="2" spans="1:8" ht="29.4" thickBot="1" x14ac:dyDescent="0.35">
      <c r="C2" s="22" t="s">
        <v>60</v>
      </c>
      <c r="D2" s="36"/>
      <c r="E2" s="23"/>
      <c r="F2" s="23"/>
      <c r="G2" s="36" t="s">
        <v>60</v>
      </c>
      <c r="H2" s="25" t="s">
        <v>28</v>
      </c>
    </row>
    <row r="3" spans="1:8" x14ac:dyDescent="0.3">
      <c r="A3" s="23"/>
      <c r="B3" s="28" t="s">
        <v>14</v>
      </c>
      <c r="C3" s="30">
        <f t="shared" ref="C3:C14" si="0">(G3/H3)*2</f>
        <v>65063.013698630137</v>
      </c>
      <c r="D3" s="37"/>
      <c r="E3" s="23"/>
      <c r="G3" s="26">
        <f>5949000+5925000</f>
        <v>11874000</v>
      </c>
      <c r="H3" s="33">
        <v>365</v>
      </c>
    </row>
    <row r="4" spans="1:8" x14ac:dyDescent="0.3">
      <c r="A4" s="23"/>
      <c r="B4" s="17" t="s">
        <v>32</v>
      </c>
      <c r="C4" s="27">
        <f t="shared" si="0"/>
        <v>36164.383561643837</v>
      </c>
      <c r="D4" s="37"/>
      <c r="E4" s="23"/>
      <c r="G4" s="26">
        <f>5100000+1500000</f>
        <v>6600000</v>
      </c>
      <c r="H4" s="33">
        <v>365</v>
      </c>
    </row>
    <row r="5" spans="1:8" x14ac:dyDescent="0.3">
      <c r="A5" s="23"/>
      <c r="B5" s="17" t="s">
        <v>16</v>
      </c>
      <c r="C5" s="27">
        <f t="shared" si="0"/>
        <v>11988.235294117647</v>
      </c>
      <c r="D5" s="37"/>
      <c r="E5" s="23"/>
      <c r="G5" s="26">
        <v>2038000</v>
      </c>
      <c r="H5" s="33">
        <v>340</v>
      </c>
    </row>
    <row r="6" spans="1:8" x14ac:dyDescent="0.3">
      <c r="A6" s="23"/>
      <c r="B6" s="17" t="s">
        <v>61</v>
      </c>
      <c r="C6" s="27">
        <f t="shared" si="0"/>
        <v>52619.178082191778</v>
      </c>
      <c r="D6" s="37"/>
      <c r="E6" s="23"/>
      <c r="G6" s="26">
        <v>9603000</v>
      </c>
      <c r="H6" s="33">
        <v>365</v>
      </c>
    </row>
    <row r="7" spans="1:8" x14ac:dyDescent="0.3">
      <c r="A7" s="23"/>
      <c r="B7" s="17" t="s">
        <v>19</v>
      </c>
      <c r="C7" s="27">
        <f t="shared" si="0"/>
        <v>53073.972602739726</v>
      </c>
      <c r="D7" s="37"/>
      <c r="E7" s="23"/>
      <c r="G7" s="26">
        <v>9686000</v>
      </c>
      <c r="H7" s="33">
        <v>365</v>
      </c>
    </row>
    <row r="8" spans="1:8" x14ac:dyDescent="0.3">
      <c r="A8" s="23"/>
      <c r="B8" s="17" t="s">
        <v>20</v>
      </c>
      <c r="C8" s="27">
        <f t="shared" si="0"/>
        <v>59315.068493150684</v>
      </c>
      <c r="D8" s="37"/>
      <c r="E8" s="23"/>
      <c r="G8" s="26">
        <v>10825000</v>
      </c>
      <c r="H8" s="33">
        <v>365</v>
      </c>
    </row>
    <row r="9" spans="1:8" x14ac:dyDescent="0.3">
      <c r="A9" s="23"/>
      <c r="B9" s="17" t="s">
        <v>21</v>
      </c>
      <c r="C9" s="27">
        <f t="shared" si="0"/>
        <v>11011.764705882353</v>
      </c>
      <c r="D9" s="37"/>
      <c r="E9" s="23"/>
      <c r="G9" s="26">
        <v>1872000</v>
      </c>
      <c r="H9" s="33">
        <v>340</v>
      </c>
    </row>
    <row r="10" spans="1:8" x14ac:dyDescent="0.3">
      <c r="A10" s="23"/>
      <c r="B10" s="17" t="s">
        <v>22</v>
      </c>
      <c r="C10" s="27">
        <f t="shared" si="0"/>
        <v>92997.260273972599</v>
      </c>
      <c r="D10" s="37"/>
      <c r="E10" s="23"/>
      <c r="G10" s="26">
        <v>16972000</v>
      </c>
      <c r="H10" s="33">
        <v>365</v>
      </c>
    </row>
    <row r="11" spans="1:8" x14ac:dyDescent="0.3">
      <c r="A11" s="23"/>
      <c r="B11" s="17" t="s">
        <v>33</v>
      </c>
      <c r="C11" s="27">
        <f t="shared" si="0"/>
        <v>9411.7647058823532</v>
      </c>
      <c r="D11" s="37"/>
      <c r="E11" s="23"/>
      <c r="G11" s="26">
        <v>1600000</v>
      </c>
      <c r="H11" s="33">
        <v>340</v>
      </c>
    </row>
    <row r="12" spans="1:8" x14ac:dyDescent="0.3">
      <c r="A12" s="23"/>
      <c r="B12" s="33" t="s">
        <v>38</v>
      </c>
      <c r="C12" s="27">
        <f t="shared" si="0"/>
        <v>6457.0575342465754</v>
      </c>
      <c r="D12" s="23"/>
      <c r="E12" s="23"/>
      <c r="F12" s="33" t="s">
        <v>38</v>
      </c>
      <c r="G12" s="57">
        <v>1178413</v>
      </c>
      <c r="H12" s="33">
        <v>365</v>
      </c>
    </row>
    <row r="13" spans="1:8" x14ac:dyDescent="0.3">
      <c r="B13" s="33" t="s">
        <v>51</v>
      </c>
      <c r="C13" s="27">
        <f t="shared" si="0"/>
        <v>7194.1176470588234</v>
      </c>
      <c r="D13" s="23"/>
      <c r="E13" s="23"/>
      <c r="F13" s="33" t="s">
        <v>51</v>
      </c>
      <c r="G13" s="26">
        <v>1223000</v>
      </c>
      <c r="H13" s="33">
        <v>340</v>
      </c>
    </row>
    <row r="14" spans="1:8" x14ac:dyDescent="0.3">
      <c r="B14" s="33" t="s">
        <v>59</v>
      </c>
      <c r="C14" s="27">
        <f t="shared" si="0"/>
        <v>86785.627397260279</v>
      </c>
      <c r="D14" s="23"/>
      <c r="E14" s="23"/>
      <c r="F14" s="33" t="s">
        <v>59</v>
      </c>
      <c r="G14" s="57">
        <v>15838377</v>
      </c>
      <c r="H14" s="33">
        <v>365</v>
      </c>
    </row>
    <row r="15" spans="1:8" x14ac:dyDescent="0.3">
      <c r="C15" s="85"/>
      <c r="D15" s="23"/>
      <c r="E15" s="23"/>
      <c r="G15" s="57"/>
    </row>
    <row r="16" spans="1:8" x14ac:dyDescent="0.3">
      <c r="C16" s="85"/>
      <c r="D16" s="23"/>
      <c r="E16" s="23"/>
      <c r="G16" s="57"/>
    </row>
    <row r="17" spans="1:8" x14ac:dyDescent="0.3">
      <c r="C17" s="85"/>
      <c r="D17" s="23"/>
      <c r="E17" s="23"/>
      <c r="G17" s="94"/>
    </row>
    <row r="18" spans="1:8" x14ac:dyDescent="0.3">
      <c r="C18" s="85"/>
      <c r="D18" s="23"/>
      <c r="E18" s="23"/>
      <c r="G18" s="94"/>
    </row>
    <row r="19" spans="1:8" x14ac:dyDescent="0.3">
      <c r="C19" s="85"/>
      <c r="D19" s="23"/>
      <c r="E19" s="23"/>
      <c r="G19" s="94"/>
    </row>
    <row r="20" spans="1:8" x14ac:dyDescent="0.3">
      <c r="C20" s="85"/>
      <c r="D20" s="23"/>
      <c r="E20" s="23"/>
      <c r="G20" s="94"/>
    </row>
    <row r="21" spans="1:8" x14ac:dyDescent="0.3">
      <c r="B21" s="135" t="s">
        <v>90</v>
      </c>
      <c r="C21" s="135"/>
      <c r="D21" s="135"/>
      <c r="E21" s="135"/>
      <c r="F21" s="135"/>
      <c r="G21" s="135"/>
    </row>
    <row r="22" spans="1:8" ht="15" thickBot="1" x14ac:dyDescent="0.35">
      <c r="B22" s="136" t="s">
        <v>91</v>
      </c>
      <c r="C22" s="136"/>
      <c r="D22" s="136"/>
      <c r="E22" s="136"/>
      <c r="F22" s="136"/>
      <c r="G22" s="136"/>
    </row>
    <row r="23" spans="1:8" ht="72.599999999999994" thickBot="1" x14ac:dyDescent="0.35">
      <c r="B23" s="86" t="s">
        <v>84</v>
      </c>
      <c r="C23" s="87" t="s">
        <v>87</v>
      </c>
      <c r="D23" s="120" t="s">
        <v>85</v>
      </c>
      <c r="E23" s="116" t="s">
        <v>88</v>
      </c>
      <c r="F23" s="87" t="s">
        <v>89</v>
      </c>
      <c r="G23" s="88" t="s">
        <v>86</v>
      </c>
    </row>
    <row r="24" spans="1:8" x14ac:dyDescent="0.3">
      <c r="A24" s="26"/>
      <c r="B24" s="89" t="s">
        <v>14</v>
      </c>
      <c r="C24" s="30">
        <v>65063.013698630137</v>
      </c>
      <c r="D24" s="121">
        <f>5949000+5925000</f>
        <v>11874000</v>
      </c>
      <c r="E24" s="117">
        <v>100695.89041095891</v>
      </c>
      <c r="F24" s="30">
        <f>9585000+8792000</f>
        <v>18377000</v>
      </c>
      <c r="G24" s="90">
        <v>365</v>
      </c>
      <c r="H24" s="26"/>
    </row>
    <row r="25" spans="1:8" x14ac:dyDescent="0.3">
      <c r="A25" s="26"/>
      <c r="B25" s="46" t="s">
        <v>32</v>
      </c>
      <c r="C25" s="27">
        <v>36164.383561643837</v>
      </c>
      <c r="D25" s="122">
        <f>5100000+1500000</f>
        <v>6600000</v>
      </c>
      <c r="E25" s="118">
        <v>34942.465753424658</v>
      </c>
      <c r="F25" s="27">
        <f>4777000+1600000</f>
        <v>6377000</v>
      </c>
      <c r="G25" s="91">
        <v>365</v>
      </c>
      <c r="H25" s="26"/>
    </row>
    <row r="26" spans="1:8" x14ac:dyDescent="0.3">
      <c r="A26" s="26"/>
      <c r="B26" s="46" t="s">
        <v>16</v>
      </c>
      <c r="C26" s="27">
        <v>11988.235294117647</v>
      </c>
      <c r="D26" s="122">
        <v>2038000</v>
      </c>
      <c r="E26" s="118">
        <v>13494.117647058823</v>
      </c>
      <c r="F26" s="27">
        <v>2294000</v>
      </c>
      <c r="G26" s="91">
        <v>340</v>
      </c>
      <c r="H26" s="26"/>
    </row>
    <row r="27" spans="1:8" x14ac:dyDescent="0.3">
      <c r="A27" s="26"/>
      <c r="B27" s="46" t="s">
        <v>61</v>
      </c>
      <c r="C27" s="27">
        <v>52619.178082191778</v>
      </c>
      <c r="D27" s="122">
        <v>9603000</v>
      </c>
      <c r="E27" s="118">
        <v>59331.506849315068</v>
      </c>
      <c r="F27" s="27">
        <v>10828000</v>
      </c>
      <c r="G27" s="91">
        <v>365</v>
      </c>
      <c r="H27" s="26"/>
    </row>
    <row r="28" spans="1:8" x14ac:dyDescent="0.3">
      <c r="A28" s="26"/>
      <c r="B28" s="46" t="s">
        <v>19</v>
      </c>
      <c r="C28" s="27">
        <v>53073.972602739726</v>
      </c>
      <c r="D28" s="122">
        <v>9686000</v>
      </c>
      <c r="E28" s="118">
        <v>59846.575342465752</v>
      </c>
      <c r="F28" s="27">
        <v>10922000</v>
      </c>
      <c r="G28" s="91">
        <v>365</v>
      </c>
      <c r="H28" s="26"/>
    </row>
    <row r="29" spans="1:8" x14ac:dyDescent="0.3">
      <c r="A29" s="26"/>
      <c r="B29" s="46" t="s">
        <v>20</v>
      </c>
      <c r="C29" s="27">
        <v>59315.068493150684</v>
      </c>
      <c r="D29" s="122">
        <v>10825000</v>
      </c>
      <c r="E29" s="118">
        <v>64646.575342465752</v>
      </c>
      <c r="F29" s="27">
        <v>11798000</v>
      </c>
      <c r="G29" s="91">
        <v>365</v>
      </c>
      <c r="H29" s="26"/>
    </row>
    <row r="30" spans="1:8" x14ac:dyDescent="0.3">
      <c r="A30" s="26"/>
      <c r="B30" s="46" t="s">
        <v>21</v>
      </c>
      <c r="C30" s="27">
        <v>11011.764705882353</v>
      </c>
      <c r="D30" s="122">
        <v>1872000</v>
      </c>
      <c r="E30" s="118">
        <v>12394.117647058823</v>
      </c>
      <c r="F30" s="27">
        <v>2107000</v>
      </c>
      <c r="G30" s="91">
        <v>340</v>
      </c>
      <c r="H30" s="26"/>
    </row>
    <row r="31" spans="1:8" ht="15" thickBot="1" x14ac:dyDescent="0.35">
      <c r="A31" s="26"/>
      <c r="B31" s="48" t="s">
        <v>22</v>
      </c>
      <c r="C31" s="92">
        <v>92997.260273972599</v>
      </c>
      <c r="D31" s="123">
        <v>16972000</v>
      </c>
      <c r="E31" s="119">
        <v>112284.93150684932</v>
      </c>
      <c r="F31" s="92">
        <v>20492000</v>
      </c>
      <c r="G31" s="93">
        <v>365</v>
      </c>
      <c r="H31" s="26"/>
    </row>
    <row r="32" spans="1:8" x14ac:dyDescent="0.3">
      <c r="A32" s="23"/>
      <c r="B32" s="95" t="s">
        <v>92</v>
      </c>
      <c r="D32" s="26"/>
    </row>
  </sheetData>
  <mergeCells count="2">
    <mergeCell ref="B21:G21"/>
    <mergeCell ref="B22:G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topLeftCell="A7" workbookViewId="0">
      <selection activeCell="H22" sqref="H22:H29"/>
    </sheetView>
  </sheetViews>
  <sheetFormatPr defaultRowHeight="14.4" x14ac:dyDescent="0.3"/>
  <cols>
    <col min="2" max="2" width="39.6640625" bestFit="1" customWidth="1"/>
    <col min="3" max="8" width="13.5546875" customWidth="1"/>
    <col min="9" max="9" width="15.33203125" customWidth="1"/>
    <col min="10" max="10" width="13.5546875" customWidth="1"/>
  </cols>
  <sheetData>
    <row r="2" spans="2:10" x14ac:dyDescent="0.3">
      <c r="C2" s="137" t="s">
        <v>27</v>
      </c>
      <c r="D2" s="137"/>
      <c r="E2" s="137"/>
      <c r="F2" s="137"/>
      <c r="G2" s="137"/>
      <c r="H2" s="137"/>
      <c r="I2" s="137"/>
      <c r="J2" s="137"/>
    </row>
    <row r="3" spans="2:10" ht="15" thickBot="1" x14ac:dyDescent="0.35">
      <c r="B3" s="21" t="s">
        <v>9</v>
      </c>
      <c r="C3" s="22">
        <v>2010</v>
      </c>
      <c r="D3" s="22">
        <v>2015</v>
      </c>
      <c r="E3" s="22">
        <v>2020</v>
      </c>
      <c r="F3" s="22">
        <v>2025</v>
      </c>
      <c r="G3" s="22">
        <v>2030</v>
      </c>
      <c r="H3" s="22">
        <v>2035</v>
      </c>
      <c r="I3" s="22">
        <v>2040</v>
      </c>
      <c r="J3" s="22">
        <v>2045</v>
      </c>
    </row>
    <row r="4" spans="2:10" x14ac:dyDescent="0.3">
      <c r="B4" s="19" t="s">
        <v>10</v>
      </c>
      <c r="C4" s="18">
        <f t="shared" ref="C4:J8" ca="1" si="0">VLOOKUP($B4,INDIRECT("'"&amp;C$3&amp;"'!"&amp;"$A$2:$J$17"),4,FALSE)</f>
        <v>86786</v>
      </c>
      <c r="D4" s="20">
        <f t="shared" ca="1" si="0"/>
        <v>103241</v>
      </c>
      <c r="E4" s="20">
        <f t="shared" ca="1" si="0"/>
        <v>112038.72413793103</v>
      </c>
      <c r="F4" s="20">
        <f t="shared" ca="1" si="0"/>
        <v>119088.23291925465</v>
      </c>
      <c r="G4" s="20">
        <f t="shared" ca="1" si="0"/>
        <v>116935.42857142858</v>
      </c>
      <c r="H4" s="20">
        <f t="shared" ca="1" si="0"/>
        <v>100515.47891566265</v>
      </c>
      <c r="I4" s="20">
        <f t="shared" ca="1" si="0"/>
        <v>112272.79277108434</v>
      </c>
      <c r="J4" s="20">
        <f t="shared" ca="1" si="0"/>
        <v>124030.10662650604</v>
      </c>
    </row>
    <row r="5" spans="2:10" x14ac:dyDescent="0.3">
      <c r="B5" s="17" t="s">
        <v>11</v>
      </c>
      <c r="C5" s="18">
        <f t="shared" ca="1" si="0"/>
        <v>0</v>
      </c>
      <c r="D5" s="18">
        <f t="shared" ca="1" si="0"/>
        <v>0</v>
      </c>
      <c r="E5" s="18">
        <f t="shared" ca="1" si="0"/>
        <v>13896.275862068971</v>
      </c>
      <c r="F5" s="18">
        <f t="shared" ca="1" si="0"/>
        <v>29541.267080745354</v>
      </c>
      <c r="G5" s="18">
        <f t="shared" ca="1" si="0"/>
        <v>54388.57142857142</v>
      </c>
      <c r="H5" s="18">
        <f t="shared" ca="1" si="0"/>
        <v>93502.77108433735</v>
      </c>
      <c r="I5" s="18">
        <f t="shared" ca="1" si="0"/>
        <v>104439.80722891567</v>
      </c>
      <c r="J5" s="18">
        <f t="shared" ca="1" si="0"/>
        <v>115376.84337349398</v>
      </c>
    </row>
    <row r="6" spans="2:10" x14ac:dyDescent="0.3">
      <c r="B6" s="17" t="s">
        <v>12</v>
      </c>
      <c r="C6" s="18">
        <f t="shared" ca="1" si="0"/>
        <v>3409.0191534346068</v>
      </c>
      <c r="D6" s="18">
        <f t="shared" ca="1" si="0"/>
        <v>6653.1724086053619</v>
      </c>
      <c r="E6" s="18">
        <f t="shared" ca="1" si="0"/>
        <v>8017.0675955964434</v>
      </c>
      <c r="F6" s="18">
        <f t="shared" ca="1" si="0"/>
        <v>9660.5602387862255</v>
      </c>
      <c r="G6" s="18">
        <f t="shared" ca="1" si="0"/>
        <v>11640.967599983695</v>
      </c>
      <c r="H6" s="18">
        <f t="shared" ca="1" si="0"/>
        <v>14027.356935242939</v>
      </c>
      <c r="I6" s="18">
        <f t="shared" ca="1" si="0"/>
        <v>16902.954234576151</v>
      </c>
      <c r="J6" s="18">
        <f t="shared" ca="1" si="0"/>
        <v>20368.046751440823</v>
      </c>
    </row>
    <row r="7" spans="2:10" x14ac:dyDescent="0.3">
      <c r="B7" s="17" t="s">
        <v>13</v>
      </c>
      <c r="C7" s="18">
        <f t="shared" ca="1" si="0"/>
        <v>3048.0383808119691</v>
      </c>
      <c r="D7" s="18">
        <f t="shared" ca="1" si="0"/>
        <v>5948.6685004855481</v>
      </c>
      <c r="E7" s="18">
        <f t="shared" ca="1" si="0"/>
        <v>7168.1409323623611</v>
      </c>
      <c r="F7" s="18">
        <f t="shared" ca="1" si="0"/>
        <v>8637.604267579336</v>
      </c>
      <c r="G7" s="18">
        <f t="shared" ca="1" si="0"/>
        <v>10408.306447557048</v>
      </c>
      <c r="H7" s="18">
        <f t="shared" ca="1" si="0"/>
        <v>12542.001201985791</v>
      </c>
      <c r="I7" s="18">
        <f t="shared" ca="1" si="0"/>
        <v>15113.101727277986</v>
      </c>
      <c r="J7" s="18">
        <f t="shared" ca="1" si="0"/>
        <v>18211.275867434062</v>
      </c>
    </row>
    <row r="8" spans="2:10" x14ac:dyDescent="0.3">
      <c r="B8" s="17" t="s">
        <v>14</v>
      </c>
      <c r="C8" s="18">
        <f t="shared" ca="1" si="0"/>
        <v>65063.013698630137</v>
      </c>
      <c r="D8" s="18">
        <f t="shared" ca="1" si="0"/>
        <v>100695.89041095891</v>
      </c>
      <c r="E8" s="18">
        <f t="shared" ca="1" si="0"/>
        <v>114379.21169334499</v>
      </c>
      <c r="F8" s="18">
        <f t="shared" ca="1" si="0"/>
        <v>120711.47916653109</v>
      </c>
      <c r="G8" s="18">
        <f t="shared" ca="1" si="0"/>
        <v>127419.63826698624</v>
      </c>
      <c r="H8" s="18">
        <f t="shared" ca="1" si="0"/>
        <v>134526.00241025223</v>
      </c>
      <c r="I8" s="18">
        <f t="shared" ca="1" si="0"/>
        <v>142054.20956521816</v>
      </c>
      <c r="J8" s="18">
        <f t="shared" ca="1" si="0"/>
        <v>150029.30088132882</v>
      </c>
    </row>
    <row r="9" spans="2:10" x14ac:dyDescent="0.3">
      <c r="B9" s="17" t="s">
        <v>32</v>
      </c>
      <c r="C9" s="18">
        <f t="shared" ref="C9:J18" ca="1" si="1">VLOOKUP($B9,INDIRECT("'"&amp;C$3&amp;"'!"&amp;"$A$2:$J$17"),4,FALSE)</f>
        <v>36164.383561643837</v>
      </c>
      <c r="D9" s="18">
        <f t="shared" ca="1" si="1"/>
        <v>34942.465753424658</v>
      </c>
      <c r="E9" s="18">
        <f t="shared" ca="1" si="1"/>
        <v>37016.695935340649</v>
      </c>
      <c r="F9" s="18">
        <f t="shared" ca="1" si="1"/>
        <v>39214.055116736294</v>
      </c>
      <c r="G9" s="18">
        <f t="shared" ca="1" si="1"/>
        <v>41541.852395051712</v>
      </c>
      <c r="H9" s="18">
        <f t="shared" ca="1" si="1"/>
        <v>44007.830745250722</v>
      </c>
      <c r="I9" s="18">
        <f t="shared" ca="1" si="1"/>
        <v>46620.192775354539</v>
      </c>
      <c r="J9" s="18">
        <f t="shared" ca="1" si="1"/>
        <v>49387.628010857487</v>
      </c>
    </row>
    <row r="10" spans="2:10" x14ac:dyDescent="0.3">
      <c r="B10" s="17" t="s">
        <v>16</v>
      </c>
      <c r="C10" s="18">
        <f t="shared" ca="1" si="1"/>
        <v>11988.235294117647</v>
      </c>
      <c r="D10" s="18">
        <f t="shared" ca="1" si="1"/>
        <v>13494.117647058823</v>
      </c>
      <c r="E10" s="18">
        <f t="shared" ca="1" si="1"/>
        <v>14295.146008919961</v>
      </c>
      <c r="F10" s="18">
        <f t="shared" ca="1" si="1"/>
        <v>15143.724455439342</v>
      </c>
      <c r="G10" s="18">
        <f t="shared" ca="1" si="1"/>
        <v>16042.675621443219</v>
      </c>
      <c r="H10" s="18">
        <f t="shared" ca="1" si="1"/>
        <v>16994.989697029716</v>
      </c>
      <c r="I10" s="18">
        <f t="shared" ca="1" si="1"/>
        <v>18003.834373867539</v>
      </c>
      <c r="J10" s="18">
        <f t="shared" ca="1" si="1"/>
        <v>19072.565381919903</v>
      </c>
    </row>
    <row r="11" spans="2:10" s="33" customFormat="1" x14ac:dyDescent="0.3">
      <c r="B11" s="17" t="s">
        <v>55</v>
      </c>
      <c r="C11" s="18">
        <f t="shared" ca="1" si="1"/>
        <v>17662</v>
      </c>
      <c r="D11" s="18">
        <f t="shared" ca="1" si="1"/>
        <v>17662</v>
      </c>
      <c r="E11" s="18">
        <f t="shared" ca="1" si="1"/>
        <v>18710.439275336765</v>
      </c>
      <c r="F11" s="18">
        <f t="shared" ca="1" si="1"/>
        <v>19821.115268716145</v>
      </c>
      <c r="G11" s="18">
        <f t="shared" ca="1" si="1"/>
        <v>20997.722432610339</v>
      </c>
      <c r="H11" s="18">
        <f t="shared" ca="1" si="1"/>
        <v>22244.174526991977</v>
      </c>
      <c r="I11" s="18">
        <f t="shared" ca="1" si="1"/>
        <v>23564.617637712396</v>
      </c>
      <c r="J11" s="18">
        <f t="shared" ca="1" si="1"/>
        <v>24963.443967667732</v>
      </c>
    </row>
    <row r="12" spans="2:10" x14ac:dyDescent="0.3">
      <c r="B12" s="17" t="s">
        <v>61</v>
      </c>
      <c r="C12" s="18">
        <f t="shared" ca="1" si="1"/>
        <v>52619.178082191778</v>
      </c>
      <c r="D12" s="18">
        <f t="shared" ca="1" si="1"/>
        <v>59331.506849315068</v>
      </c>
      <c r="E12" s="18">
        <f t="shared" ca="1" si="1"/>
        <v>62853.502209168662</v>
      </c>
      <c r="F12" s="18">
        <f t="shared" ca="1" si="1"/>
        <v>66584.567791127585</v>
      </c>
      <c r="G12" s="18">
        <f t="shared" ca="1" si="1"/>
        <v>70537.114275304993</v>
      </c>
      <c r="H12" s="18">
        <f t="shared" ca="1" si="1"/>
        <v>74724.289055915753</v>
      </c>
      <c r="I12" s="18">
        <f t="shared" ca="1" si="1"/>
        <v>79160.019973583025</v>
      </c>
      <c r="J12" s="18">
        <f t="shared" ca="1" si="1"/>
        <v>83859.061643651381</v>
      </c>
    </row>
    <row r="13" spans="2:10" x14ac:dyDescent="0.3">
      <c r="B13" s="17" t="s">
        <v>19</v>
      </c>
      <c r="C13" s="18">
        <f t="shared" ca="1" si="1"/>
        <v>53073.972602739726</v>
      </c>
      <c r="D13" s="18">
        <f t="shared" ca="1" si="1"/>
        <v>59846.575342465752</v>
      </c>
      <c r="E13" s="18">
        <f t="shared" ca="1" si="1"/>
        <v>63399.145837508324</v>
      </c>
      <c r="F13" s="18">
        <f t="shared" ca="1" si="1"/>
        <v>67162.601534419606</v>
      </c>
      <c r="G13" s="18">
        <f t="shared" ca="1" si="1"/>
        <v>71149.460852870456</v>
      </c>
      <c r="H13" s="18">
        <f t="shared" ca="1" si="1"/>
        <v>75372.985322193577</v>
      </c>
      <c r="I13" s="18">
        <f t="shared" ca="1" si="1"/>
        <v>79847.223693338936</v>
      </c>
      <c r="J13" s="18">
        <f t="shared" ca="1" si="1"/>
        <v>84587.058669372054</v>
      </c>
    </row>
    <row r="14" spans="2:10" x14ac:dyDescent="0.3">
      <c r="B14" s="17" t="s">
        <v>20</v>
      </c>
      <c r="C14" s="18">
        <f t="shared" ca="1" si="1"/>
        <v>59315.068493150684</v>
      </c>
      <c r="D14" s="18">
        <f t="shared" ca="1" si="1"/>
        <v>64646.575342465752</v>
      </c>
      <c r="E14" s="18">
        <f t="shared" ca="1" si="1"/>
        <v>68484.080076077938</v>
      </c>
      <c r="F14" s="18">
        <f t="shared" ca="1" si="1"/>
        <v>72549.384078289921</v>
      </c>
      <c r="G14" s="18">
        <f t="shared" ca="1" si="1"/>
        <v>76856.009809756957</v>
      </c>
      <c r="H14" s="18">
        <f t="shared" ca="1" si="1"/>
        <v>81418.282441973977</v>
      </c>
      <c r="I14" s="29">
        <f t="shared" ca="1" si="1"/>
        <v>86251.377507234269</v>
      </c>
      <c r="J14" s="18">
        <f t="shared" ca="1" si="1"/>
        <v>91371.37137715175</v>
      </c>
    </row>
    <row r="15" spans="2:10" x14ac:dyDescent="0.3">
      <c r="B15" s="17" t="s">
        <v>21</v>
      </c>
      <c r="C15" s="18">
        <f t="shared" ca="1" si="1"/>
        <v>11011.764705882353</v>
      </c>
      <c r="D15" s="18">
        <f t="shared" ca="1" si="1"/>
        <v>12394.117647058823</v>
      </c>
      <c r="E15" s="18">
        <f t="shared" ca="1" si="1"/>
        <v>13129.848579247759</v>
      </c>
      <c r="F15" s="18">
        <f t="shared" ca="1" si="1"/>
        <v>13909.253455802394</v>
      </c>
      <c r="G15" s="18">
        <f t="shared" ca="1" si="1"/>
        <v>14734.924818823392</v>
      </c>
      <c r="H15" s="18">
        <f t="shared" ca="1" si="1"/>
        <v>15609.609107080039</v>
      </c>
      <c r="I15" s="18">
        <f t="shared" ca="1" si="1"/>
        <v>16536.215791516523</v>
      </c>
      <c r="J15" s="18">
        <f t="shared" ca="1" si="1"/>
        <v>17517.827053053719</v>
      </c>
    </row>
    <row r="16" spans="2:10" x14ac:dyDescent="0.3">
      <c r="B16" s="17" t="s">
        <v>22</v>
      </c>
      <c r="C16" s="18">
        <f t="shared" ca="1" si="1"/>
        <v>92997.260273972599</v>
      </c>
      <c r="D16" s="18">
        <f t="shared" ca="1" si="1"/>
        <v>112284.93150684932</v>
      </c>
      <c r="E16" s="18">
        <f t="shared" ca="1" si="1"/>
        <v>118950.3109780462</v>
      </c>
      <c r="F16" s="18">
        <f t="shared" ca="1" si="1"/>
        <v>126011.35603766037</v>
      </c>
      <c r="G16" s="18">
        <f t="shared" ca="1" si="1"/>
        <v>133491.55390926765</v>
      </c>
      <c r="H16" s="18">
        <f t="shared" ca="1" si="1"/>
        <v>141415.78604856168</v>
      </c>
      <c r="I16" s="18">
        <f t="shared" ca="1" si="1"/>
        <v>149810.41090678459</v>
      </c>
      <c r="J16" s="18">
        <f t="shared" ca="1" si="1"/>
        <v>158703.35160710235</v>
      </c>
    </row>
    <row r="17" spans="1:10" x14ac:dyDescent="0.3">
      <c r="B17" s="17" t="s">
        <v>23</v>
      </c>
      <c r="C17" s="18">
        <f t="shared" ca="1" si="1"/>
        <v>5090</v>
      </c>
      <c r="D17" s="18">
        <f t="shared" ca="1" si="1"/>
        <v>5090</v>
      </c>
      <c r="E17" s="18">
        <f t="shared" ca="1" si="1"/>
        <v>5392.1490154831918</v>
      </c>
      <c r="F17" s="18">
        <f t="shared" ca="1" si="1"/>
        <v>5712.2339892291466</v>
      </c>
      <c r="G17" s="18">
        <f t="shared" ca="1" si="1"/>
        <v>6051.3196230317426</v>
      </c>
      <c r="H17" s="18">
        <f t="shared" ca="1" si="1"/>
        <v>6410.5338207671375</v>
      </c>
      <c r="I17" s="18">
        <f t="shared" ca="1" si="1"/>
        <v>6791.0714401515179</v>
      </c>
      <c r="J17" s="18">
        <f t="shared" ca="1" si="1"/>
        <v>7194.1982672080603</v>
      </c>
    </row>
    <row r="18" spans="1:10" x14ac:dyDescent="0.3">
      <c r="B18" s="17" t="s">
        <v>24</v>
      </c>
      <c r="C18" s="18">
        <f t="shared" ca="1" si="1"/>
        <v>15336</v>
      </c>
      <c r="D18" s="18">
        <f t="shared" ca="1" si="1"/>
        <v>15336</v>
      </c>
      <c r="E18" s="18">
        <f t="shared" ca="1" si="1"/>
        <v>15336</v>
      </c>
      <c r="F18" s="18">
        <f t="shared" ca="1" si="1"/>
        <v>26838</v>
      </c>
      <c r="G18" s="18">
        <f t="shared" ca="1" si="1"/>
        <v>26838</v>
      </c>
      <c r="H18" s="18">
        <f t="shared" ca="1" si="1"/>
        <v>26838</v>
      </c>
      <c r="I18" s="18">
        <f t="shared" ca="1" si="1"/>
        <v>26838</v>
      </c>
      <c r="J18" s="18">
        <f t="shared" ca="1" si="1"/>
        <v>26838</v>
      </c>
    </row>
    <row r="21" spans="1:10" ht="29.4" thickBot="1" x14ac:dyDescent="0.35">
      <c r="C21" s="22" t="s">
        <v>25</v>
      </c>
      <c r="D21" s="22" t="s">
        <v>26</v>
      </c>
      <c r="E21" s="36"/>
      <c r="F21" s="23"/>
      <c r="H21" s="24" t="s">
        <v>26</v>
      </c>
      <c r="I21" s="25" t="s">
        <v>28</v>
      </c>
    </row>
    <row r="22" spans="1:10" x14ac:dyDescent="0.3">
      <c r="A22" s="23"/>
      <c r="B22" s="28" t="s">
        <v>14</v>
      </c>
      <c r="C22" s="30">
        <f ca="1">D8</f>
        <v>100695.89041095891</v>
      </c>
      <c r="D22" s="30">
        <f>(H22/I22)*2</f>
        <v>100695.89041095891</v>
      </c>
      <c r="E22" s="37"/>
      <c r="F22" s="23"/>
      <c r="H22" s="26">
        <f>9585000+8792000</f>
        <v>18377000</v>
      </c>
      <c r="I22">
        <v>365</v>
      </c>
    </row>
    <row r="23" spans="1:10" x14ac:dyDescent="0.3">
      <c r="A23" s="23"/>
      <c r="B23" s="17" t="s">
        <v>32</v>
      </c>
      <c r="C23" s="30">
        <f ca="1">D9</f>
        <v>34942.465753424658</v>
      </c>
      <c r="D23" s="27">
        <f t="shared" ref="D23:D33" si="2">(H23/I23)*2</f>
        <v>34942.465753424658</v>
      </c>
      <c r="E23" s="37"/>
      <c r="F23" s="23"/>
      <c r="H23" s="26">
        <f>4777000+1600000</f>
        <v>6377000</v>
      </c>
      <c r="I23">
        <v>365</v>
      </c>
    </row>
    <row r="24" spans="1:10" x14ac:dyDescent="0.3">
      <c r="A24" s="23"/>
      <c r="B24" s="17" t="s">
        <v>16</v>
      </c>
      <c r="C24" s="30">
        <f ca="1">D10</f>
        <v>13494.117647058823</v>
      </c>
      <c r="D24" s="27">
        <f t="shared" si="2"/>
        <v>13494.117647058823</v>
      </c>
      <c r="E24" s="37"/>
      <c r="F24" s="23"/>
      <c r="H24" s="26">
        <v>2294000</v>
      </c>
      <c r="I24">
        <v>340</v>
      </c>
    </row>
    <row r="25" spans="1:10" x14ac:dyDescent="0.3">
      <c r="A25" s="23"/>
      <c r="B25" s="17" t="s">
        <v>18</v>
      </c>
      <c r="C25" s="27">
        <f ca="1">D12</f>
        <v>59331.506849315068</v>
      </c>
      <c r="D25" s="27">
        <f t="shared" si="2"/>
        <v>59331.506849315068</v>
      </c>
      <c r="E25" s="37"/>
      <c r="F25" s="23"/>
      <c r="H25" s="26">
        <v>10828000</v>
      </c>
      <c r="I25">
        <v>365</v>
      </c>
    </row>
    <row r="26" spans="1:10" x14ac:dyDescent="0.3">
      <c r="A26" s="23"/>
      <c r="B26" s="17" t="s">
        <v>19</v>
      </c>
      <c r="C26" s="27">
        <f ca="1">D13</f>
        <v>59846.575342465752</v>
      </c>
      <c r="D26" s="27">
        <f t="shared" si="2"/>
        <v>59846.575342465752</v>
      </c>
      <c r="E26" s="37"/>
      <c r="F26" s="23"/>
      <c r="H26" s="26">
        <v>10922000</v>
      </c>
      <c r="I26">
        <v>365</v>
      </c>
    </row>
    <row r="27" spans="1:10" x14ac:dyDescent="0.3">
      <c r="A27" s="23"/>
      <c r="B27" s="17" t="s">
        <v>20</v>
      </c>
      <c r="C27" s="27">
        <f ca="1">D14</f>
        <v>64646.575342465752</v>
      </c>
      <c r="D27" s="27">
        <f t="shared" si="2"/>
        <v>64646.575342465752</v>
      </c>
      <c r="E27" s="37"/>
      <c r="F27" s="23"/>
      <c r="H27" s="26">
        <v>11798000</v>
      </c>
      <c r="I27">
        <v>365</v>
      </c>
    </row>
    <row r="28" spans="1:10" x14ac:dyDescent="0.3">
      <c r="A28" s="23"/>
      <c r="B28" s="17" t="s">
        <v>21</v>
      </c>
      <c r="C28" s="27">
        <f ca="1">D15</f>
        <v>12394.117647058823</v>
      </c>
      <c r="D28" s="27">
        <f t="shared" si="2"/>
        <v>12394.117647058823</v>
      </c>
      <c r="E28" s="37"/>
      <c r="F28" s="23"/>
      <c r="H28" s="26">
        <v>2107000</v>
      </c>
      <c r="I28">
        <v>340</v>
      </c>
    </row>
    <row r="29" spans="1:10" x14ac:dyDescent="0.3">
      <c r="A29" s="23"/>
      <c r="B29" s="17" t="s">
        <v>22</v>
      </c>
      <c r="C29" s="27">
        <f ca="1">D16</f>
        <v>112284.93150684932</v>
      </c>
      <c r="D29" s="27">
        <f t="shared" si="2"/>
        <v>112284.93150684932</v>
      </c>
      <c r="E29" s="37"/>
      <c r="F29" s="23"/>
      <c r="H29" s="26">
        <v>20492000</v>
      </c>
      <c r="I29">
        <v>365</v>
      </c>
    </row>
    <row r="30" spans="1:10" x14ac:dyDescent="0.3">
      <c r="A30" s="23"/>
      <c r="B30" s="17" t="s">
        <v>33</v>
      </c>
      <c r="C30" s="27" t="s">
        <v>34</v>
      </c>
      <c r="D30" s="27">
        <f t="shared" si="2"/>
        <v>9411.7647058823532</v>
      </c>
      <c r="E30" s="37"/>
      <c r="F30" s="23"/>
      <c r="H30" s="26">
        <v>1600000</v>
      </c>
      <c r="I30">
        <v>340</v>
      </c>
    </row>
    <row r="31" spans="1:10" x14ac:dyDescent="0.3">
      <c r="A31" s="23"/>
      <c r="B31" s="23"/>
      <c r="C31" t="s">
        <v>38</v>
      </c>
      <c r="D31" s="27">
        <f t="shared" si="2"/>
        <v>7734.6191780821919</v>
      </c>
      <c r="E31" s="23"/>
      <c r="F31" s="23"/>
      <c r="G31" t="s">
        <v>38</v>
      </c>
      <c r="H31" s="26">
        <f>268942+1142626</f>
        <v>1411568</v>
      </c>
      <c r="I31" s="33">
        <v>365</v>
      </c>
    </row>
    <row r="32" spans="1:10" x14ac:dyDescent="0.3">
      <c r="B32" s="26"/>
      <c r="C32" s="33" t="s">
        <v>51</v>
      </c>
      <c r="D32" s="27">
        <f t="shared" si="2"/>
        <v>7705.8823529411766</v>
      </c>
      <c r="E32" s="23"/>
      <c r="F32" s="23"/>
      <c r="G32" t="s">
        <v>51</v>
      </c>
      <c r="H32" s="26">
        <v>1310000</v>
      </c>
      <c r="I32">
        <v>340</v>
      </c>
    </row>
    <row r="33" spans="3:9" x14ac:dyDescent="0.3">
      <c r="C33" s="45" t="s">
        <v>59</v>
      </c>
      <c r="D33" s="27">
        <f t="shared" si="2"/>
        <v>86785.627397260279</v>
      </c>
      <c r="E33" s="23"/>
      <c r="F33" s="23"/>
      <c r="G33" t="s">
        <v>59</v>
      </c>
      <c r="H33" s="26">
        <v>15838377</v>
      </c>
      <c r="I33" s="33">
        <v>365</v>
      </c>
    </row>
    <row r="34" spans="3:9" x14ac:dyDescent="0.3">
      <c r="E34" s="23"/>
      <c r="F34" s="23"/>
    </row>
  </sheetData>
  <mergeCells count="1">
    <mergeCell ref="C2:J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6"/>
  <sheetViews>
    <sheetView topLeftCell="A7" workbookViewId="0">
      <selection activeCell="G21" sqref="G21"/>
    </sheetView>
  </sheetViews>
  <sheetFormatPr defaultRowHeight="14.4" x14ac:dyDescent="0.3"/>
  <cols>
    <col min="4" max="4" width="14.5546875" bestFit="1" customWidth="1"/>
  </cols>
  <sheetData>
    <row r="1" spans="3:4" x14ac:dyDescent="0.3">
      <c r="D1" s="24" t="s">
        <v>29</v>
      </c>
    </row>
    <row r="2" spans="3:4" x14ac:dyDescent="0.3">
      <c r="C2">
        <v>1991</v>
      </c>
      <c r="D2" s="26">
        <v>49315</v>
      </c>
    </row>
    <row r="3" spans="3:4" x14ac:dyDescent="0.3">
      <c r="C3">
        <v>1992</v>
      </c>
      <c r="D3" s="26">
        <v>31420</v>
      </c>
    </row>
    <row r="4" spans="3:4" x14ac:dyDescent="0.3">
      <c r="C4">
        <v>1993</v>
      </c>
      <c r="D4" s="26">
        <v>32876</v>
      </c>
    </row>
    <row r="5" spans="3:4" x14ac:dyDescent="0.3">
      <c r="C5">
        <v>1994</v>
      </c>
      <c r="D5" s="26">
        <v>30684</v>
      </c>
    </row>
    <row r="6" spans="3:4" x14ac:dyDescent="0.3">
      <c r="C6">
        <v>1995</v>
      </c>
      <c r="D6" s="26">
        <v>35342</v>
      </c>
    </row>
    <row r="7" spans="3:4" x14ac:dyDescent="0.3">
      <c r="C7">
        <v>1996</v>
      </c>
      <c r="D7" s="26">
        <v>37704</v>
      </c>
    </row>
    <row r="8" spans="3:4" x14ac:dyDescent="0.3">
      <c r="C8">
        <v>1997</v>
      </c>
      <c r="D8" s="26">
        <v>46575</v>
      </c>
    </row>
    <row r="9" spans="3:4" x14ac:dyDescent="0.3">
      <c r="C9">
        <v>1998</v>
      </c>
      <c r="D9" s="26">
        <v>42849</v>
      </c>
    </row>
    <row r="10" spans="3:4" x14ac:dyDescent="0.3">
      <c r="C10">
        <v>1999</v>
      </c>
      <c r="D10" s="26">
        <v>41643</v>
      </c>
    </row>
    <row r="11" spans="3:4" x14ac:dyDescent="0.3">
      <c r="C11">
        <v>2000</v>
      </c>
      <c r="D11" s="26">
        <v>42076</v>
      </c>
    </row>
    <row r="12" spans="3:4" x14ac:dyDescent="0.3">
      <c r="C12">
        <v>2001</v>
      </c>
      <c r="D12" s="26">
        <v>40273</v>
      </c>
    </row>
    <row r="13" spans="3:4" x14ac:dyDescent="0.3">
      <c r="C13">
        <v>2002</v>
      </c>
      <c r="D13" s="26">
        <v>38356</v>
      </c>
    </row>
    <row r="14" spans="3:4" x14ac:dyDescent="0.3">
      <c r="C14">
        <v>2003</v>
      </c>
      <c r="D14" s="26">
        <v>38465</v>
      </c>
    </row>
    <row r="15" spans="3:4" x14ac:dyDescent="0.3">
      <c r="C15">
        <v>2004</v>
      </c>
      <c r="D15" s="26">
        <v>41256</v>
      </c>
    </row>
    <row r="16" spans="3:4" x14ac:dyDescent="0.3">
      <c r="C16">
        <v>2005</v>
      </c>
      <c r="D16" s="26">
        <v>44383</v>
      </c>
    </row>
    <row r="17" spans="3:9" x14ac:dyDescent="0.3">
      <c r="C17">
        <v>2006</v>
      </c>
      <c r="D17" s="26">
        <v>45479</v>
      </c>
    </row>
    <row r="18" spans="3:9" x14ac:dyDescent="0.3">
      <c r="C18">
        <v>2007</v>
      </c>
      <c r="D18" s="26">
        <v>46575</v>
      </c>
    </row>
    <row r="19" spans="3:9" x14ac:dyDescent="0.3">
      <c r="C19">
        <v>2008</v>
      </c>
      <c r="D19" s="26">
        <v>46448</v>
      </c>
    </row>
    <row r="20" spans="3:9" x14ac:dyDescent="0.3">
      <c r="C20">
        <v>2009</v>
      </c>
      <c r="D20" s="26">
        <v>47123</v>
      </c>
      <c r="F20" t="s">
        <v>30</v>
      </c>
    </row>
    <row r="21" spans="3:9" x14ac:dyDescent="0.3">
      <c r="C21">
        <v>2010</v>
      </c>
      <c r="D21" s="26">
        <v>46301</v>
      </c>
      <c r="F21" t="s">
        <v>39</v>
      </c>
      <c r="G21" s="40">
        <f>((D56/D26)-1)/(C56-C26)</f>
        <v>1.6224957097908187E-2</v>
      </c>
      <c r="I21">
        <f>(D56/D26)-1</f>
        <v>0.48674871293724564</v>
      </c>
    </row>
    <row r="22" spans="3:9" x14ac:dyDescent="0.3">
      <c r="C22">
        <v>2011</v>
      </c>
      <c r="D22" s="26">
        <v>46849</v>
      </c>
    </row>
    <row r="23" spans="3:9" x14ac:dyDescent="0.3">
      <c r="C23">
        <v>2012</v>
      </c>
      <c r="D23" s="26">
        <v>50786.885245901642</v>
      </c>
    </row>
    <row r="24" spans="3:9" x14ac:dyDescent="0.3">
      <c r="C24">
        <v>2013</v>
      </c>
      <c r="D24" s="26">
        <v>48043.835616438359</v>
      </c>
    </row>
    <row r="25" spans="3:9" x14ac:dyDescent="0.3">
      <c r="C25">
        <v>2014</v>
      </c>
      <c r="D25" s="26">
        <v>52964.383561643837</v>
      </c>
    </row>
    <row r="26" spans="3:9" x14ac:dyDescent="0.3">
      <c r="C26">
        <v>2015</v>
      </c>
      <c r="D26" s="26">
        <v>56142.465753424658</v>
      </c>
    </row>
    <row r="27" spans="3:9" x14ac:dyDescent="0.3">
      <c r="C27" s="31">
        <v>2016</v>
      </c>
      <c r="D27" s="26">
        <v>52549.463387155098</v>
      </c>
      <c r="H27" s="23"/>
    </row>
    <row r="28" spans="3:9" x14ac:dyDescent="0.3">
      <c r="C28" s="31">
        <v>2017</v>
      </c>
      <c r="D28" s="26">
        <v>53394.677435670201</v>
      </c>
    </row>
    <row r="29" spans="3:9" x14ac:dyDescent="0.3">
      <c r="C29" s="31">
        <v>2018</v>
      </c>
      <c r="D29" s="26">
        <v>54253.486043325604</v>
      </c>
    </row>
    <row r="30" spans="3:9" x14ac:dyDescent="0.3">
      <c r="C30" s="31">
        <v>2019</v>
      </c>
      <c r="D30" s="26">
        <v>55126.107867203798</v>
      </c>
    </row>
    <row r="31" spans="3:9" x14ac:dyDescent="0.3">
      <c r="C31" s="31">
        <v>2020</v>
      </c>
      <c r="D31" s="26">
        <v>56012.7650813039</v>
      </c>
    </row>
    <row r="32" spans="3:9" x14ac:dyDescent="0.3">
      <c r="C32" s="31">
        <v>2021</v>
      </c>
      <c r="D32" s="26">
        <v>56913.6834331071</v>
      </c>
    </row>
    <row r="33" spans="3:4" x14ac:dyDescent="0.3">
      <c r="C33" s="31">
        <v>2022</v>
      </c>
      <c r="D33" s="26">
        <v>57829.0923010529</v>
      </c>
    </row>
    <row r="34" spans="3:4" x14ac:dyDescent="0.3">
      <c r="C34" s="31">
        <v>2023</v>
      </c>
      <c r="D34" s="26">
        <v>58759.224752941402</v>
      </c>
    </row>
    <row r="35" spans="3:4" x14ac:dyDescent="0.3">
      <c r="C35" s="31">
        <v>2024</v>
      </c>
      <c r="D35" s="26">
        <v>59704.317605272699</v>
      </c>
    </row>
    <row r="36" spans="3:4" x14ac:dyDescent="0.3">
      <c r="C36" s="31">
        <v>2025</v>
      </c>
      <c r="D36" s="26">
        <v>60664.611483541397</v>
      </c>
    </row>
    <row r="37" spans="3:4" x14ac:dyDescent="0.3">
      <c r="C37" s="31">
        <v>2026</v>
      </c>
      <c r="D37" s="26">
        <v>61640.350883501203</v>
      </c>
    </row>
    <row r="38" spans="3:4" x14ac:dyDescent="0.3">
      <c r="C38" s="31">
        <v>2027</v>
      </c>
      <c r="D38" s="26">
        <v>62631.784233415397</v>
      </c>
    </row>
    <row r="39" spans="3:4" x14ac:dyDescent="0.3">
      <c r="C39" s="31">
        <v>2028</v>
      </c>
      <c r="D39" s="26">
        <v>63639.163957307697</v>
      </c>
    </row>
    <row r="40" spans="3:4" x14ac:dyDescent="0.3">
      <c r="C40" s="31">
        <v>2029</v>
      </c>
      <c r="D40" s="26">
        <v>64662.7465392304</v>
      </c>
    </row>
    <row r="41" spans="3:4" x14ac:dyDescent="0.3">
      <c r="C41" s="31">
        <v>2030</v>
      </c>
      <c r="D41" s="26">
        <v>65702.792588566299</v>
      </c>
    </row>
    <row r="42" spans="3:4" x14ac:dyDescent="0.3">
      <c r="C42" s="31">
        <v>2031</v>
      </c>
      <c r="D42" s="26">
        <v>66759.566906381398</v>
      </c>
    </row>
    <row r="43" spans="3:4" x14ac:dyDescent="0.3">
      <c r="C43" s="31">
        <v>2032</v>
      </c>
      <c r="D43" s="26">
        <v>67833.338552846006</v>
      </c>
    </row>
    <row r="44" spans="3:4" x14ac:dyDescent="0.3">
      <c r="C44" s="31">
        <v>2033</v>
      </c>
      <c r="D44" s="26">
        <v>68924.380915736503</v>
      </c>
    </row>
    <row r="45" spans="3:4" x14ac:dyDescent="0.3">
      <c r="C45" s="31">
        <v>2034</v>
      </c>
      <c r="D45" s="26">
        <v>70032.971780042499</v>
      </c>
    </row>
    <row r="46" spans="3:4" x14ac:dyDescent="0.3">
      <c r="C46" s="31">
        <v>2035</v>
      </c>
      <c r="D46" s="26">
        <v>71159.393398692395</v>
      </c>
    </row>
    <row r="47" spans="3:4" x14ac:dyDescent="0.3">
      <c r="C47" s="31">
        <v>2036</v>
      </c>
      <c r="D47" s="26">
        <v>72303.932564416406</v>
      </c>
    </row>
    <row r="48" spans="3:4" x14ac:dyDescent="0.3">
      <c r="C48" s="31">
        <v>2037</v>
      </c>
      <c r="D48" s="26">
        <v>73466.880682765201</v>
      </c>
    </row>
    <row r="49" spans="3:4" x14ac:dyDescent="0.3">
      <c r="C49" s="31">
        <v>2038</v>
      </c>
      <c r="D49" s="26">
        <v>74648.533846303006</v>
      </c>
    </row>
    <row r="50" spans="3:4" x14ac:dyDescent="0.3">
      <c r="C50" s="31">
        <v>2039</v>
      </c>
      <c r="D50" s="26">
        <v>75849.192909995298</v>
      </c>
    </row>
    <row r="51" spans="3:4" x14ac:dyDescent="0.3">
      <c r="C51" s="31">
        <v>2040</v>
      </c>
      <c r="D51" s="26">
        <v>77069.163567806507</v>
      </c>
    </row>
    <row r="52" spans="3:4" x14ac:dyDescent="0.3">
      <c r="C52" s="31">
        <v>2041</v>
      </c>
      <c r="D52" s="26">
        <v>78308.756430533002</v>
      </c>
    </row>
    <row r="53" spans="3:4" x14ac:dyDescent="0.3">
      <c r="C53" s="31">
        <v>2042</v>
      </c>
      <c r="D53" s="26">
        <v>79568.287104884206</v>
      </c>
    </row>
    <row r="54" spans="3:4" x14ac:dyDescent="0.3">
      <c r="C54" s="31">
        <v>2043</v>
      </c>
      <c r="D54" s="26">
        <v>80848.076273840095</v>
      </c>
    </row>
    <row r="55" spans="3:4" x14ac:dyDescent="0.3">
      <c r="C55" s="31">
        <v>2044</v>
      </c>
      <c r="D55" s="26">
        <v>82148.449778296505</v>
      </c>
    </row>
    <row r="56" spans="3:4" x14ac:dyDescent="0.3">
      <c r="C56" s="31">
        <v>2045</v>
      </c>
      <c r="D56" s="26">
        <v>83469.738700027505</v>
      </c>
    </row>
  </sheetData>
  <sortState ref="C2:D26">
    <sortCondition ref="C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topLeftCell="A16" zoomScale="70" zoomScaleNormal="70" workbookViewId="0">
      <selection activeCell="G20" sqref="G20"/>
    </sheetView>
  </sheetViews>
  <sheetFormatPr defaultRowHeight="14.4" x14ac:dyDescent="0.3"/>
  <cols>
    <col min="1" max="1" width="7.5546875" bestFit="1" customWidth="1"/>
    <col min="2" max="2" width="6.77734375" bestFit="1" customWidth="1"/>
    <col min="3" max="3" width="10.33203125" bestFit="1" customWidth="1"/>
    <col min="5" max="5" width="10" bestFit="1" customWidth="1"/>
    <col min="6" max="6" width="11.109375" bestFit="1" customWidth="1"/>
    <col min="8" max="8" width="13.5546875" bestFit="1" customWidth="1"/>
    <col min="9" max="9" width="11.6640625" bestFit="1" customWidth="1"/>
  </cols>
  <sheetData>
    <row r="1" spans="1:16" x14ac:dyDescent="0.3">
      <c r="A1" s="59"/>
      <c r="B1" s="138" t="s">
        <v>64</v>
      </c>
      <c r="C1" s="139"/>
      <c r="E1" s="80" t="s">
        <v>78</v>
      </c>
    </row>
    <row r="2" spans="1:16" x14ac:dyDescent="0.3">
      <c r="A2" s="60"/>
      <c r="B2" s="61" t="s">
        <v>65</v>
      </c>
      <c r="C2" s="62" t="s">
        <v>66</v>
      </c>
      <c r="D2" s="33"/>
      <c r="E2" s="79" t="s">
        <v>77</v>
      </c>
      <c r="F2" s="78">
        <f t="shared" ref="F2:F13" si="0">AVERAGE(C3,C15,C27,C39,C51,C63)</f>
        <v>156460.16666666666</v>
      </c>
      <c r="G2" s="76"/>
      <c r="H2" s="33">
        <v>2010</v>
      </c>
      <c r="I2" s="77">
        <f>SUM(C3:C14)</f>
        <v>1178413</v>
      </c>
      <c r="J2" s="76"/>
      <c r="K2" s="76"/>
      <c r="L2" s="76"/>
      <c r="M2" s="76"/>
      <c r="N2" s="76"/>
      <c r="O2" s="76"/>
      <c r="P2" s="76"/>
    </row>
    <row r="3" spans="1:16" x14ac:dyDescent="0.3">
      <c r="A3" s="79" t="s">
        <v>77</v>
      </c>
      <c r="B3" s="63">
        <v>17</v>
      </c>
      <c r="C3" s="64">
        <v>161777</v>
      </c>
      <c r="D3">
        <f>RANK(C3,$C$3:$C$14)</f>
        <v>2</v>
      </c>
      <c r="E3" s="79">
        <v>40210</v>
      </c>
      <c r="F3" s="78">
        <f t="shared" si="0"/>
        <v>129465</v>
      </c>
      <c r="H3">
        <v>2011</v>
      </c>
      <c r="I3" s="77">
        <f>SUM(C15:C26)</f>
        <v>1210956</v>
      </c>
    </row>
    <row r="4" spans="1:16" x14ac:dyDescent="0.3">
      <c r="A4" s="65">
        <v>40210</v>
      </c>
      <c r="B4" s="63">
        <v>13</v>
      </c>
      <c r="C4" s="64">
        <v>61946</v>
      </c>
      <c r="D4" s="33">
        <f t="shared" ref="D4:D13" si="1">RANK(C4,$C$3:$C$14)</f>
        <v>9</v>
      </c>
      <c r="E4" s="79">
        <v>40238</v>
      </c>
      <c r="F4" s="78">
        <f t="shared" si="0"/>
        <v>136133.16666666666</v>
      </c>
      <c r="H4">
        <v>2012</v>
      </c>
      <c r="I4" s="77">
        <f>SUM(C27:C38)</f>
        <v>1309481</v>
      </c>
    </row>
    <row r="5" spans="1:16" x14ac:dyDescent="0.3">
      <c r="A5" s="65">
        <v>40238</v>
      </c>
      <c r="B5" s="63">
        <v>28</v>
      </c>
      <c r="C5" s="64">
        <v>166515</v>
      </c>
      <c r="D5" s="33">
        <f t="shared" si="1"/>
        <v>1</v>
      </c>
      <c r="E5" s="79">
        <v>40269</v>
      </c>
      <c r="F5" s="78">
        <f t="shared" si="0"/>
        <v>118528</v>
      </c>
      <c r="H5">
        <v>2013</v>
      </c>
      <c r="I5" s="77">
        <f>SUM(C39:C50)</f>
        <v>1252762</v>
      </c>
    </row>
    <row r="6" spans="1:16" x14ac:dyDescent="0.3">
      <c r="A6" s="65">
        <v>40269</v>
      </c>
      <c r="B6" s="63">
        <v>15</v>
      </c>
      <c r="C6" s="64">
        <v>88407</v>
      </c>
      <c r="D6" s="33">
        <f t="shared" si="1"/>
        <v>6</v>
      </c>
      <c r="E6" s="79">
        <v>40299</v>
      </c>
      <c r="F6" s="78">
        <f t="shared" si="0"/>
        <v>70265.833333333328</v>
      </c>
      <c r="H6">
        <v>2014</v>
      </c>
      <c r="I6" s="77">
        <f>SUM(C51:C62)</f>
        <v>1347572</v>
      </c>
    </row>
    <row r="7" spans="1:16" x14ac:dyDescent="0.3">
      <c r="A7" s="65">
        <v>40299</v>
      </c>
      <c r="B7" s="63">
        <v>17</v>
      </c>
      <c r="C7" s="64">
        <v>45896</v>
      </c>
      <c r="D7" s="33">
        <f t="shared" si="1"/>
        <v>12</v>
      </c>
      <c r="E7" s="79">
        <v>40330</v>
      </c>
      <c r="F7" s="78">
        <f t="shared" si="0"/>
        <v>142800.33333333334</v>
      </c>
      <c r="H7">
        <v>2015</v>
      </c>
      <c r="I7" s="77">
        <f>SUM(C63:C74)</f>
        <v>1373000</v>
      </c>
    </row>
    <row r="8" spans="1:16" x14ac:dyDescent="0.3">
      <c r="A8" s="65">
        <v>40330</v>
      </c>
      <c r="B8" s="63">
        <v>16</v>
      </c>
      <c r="C8" s="64">
        <v>113314</v>
      </c>
      <c r="D8" s="33">
        <f t="shared" si="1"/>
        <v>5</v>
      </c>
      <c r="E8" s="79">
        <v>40360</v>
      </c>
      <c r="F8" s="78">
        <f t="shared" si="0"/>
        <v>53492.666666666664</v>
      </c>
      <c r="H8" s="80" t="s">
        <v>79</v>
      </c>
      <c r="I8" s="81">
        <f>AVERAGE(I2:I7)</f>
        <v>1278697.3333333333</v>
      </c>
    </row>
    <row r="9" spans="1:16" x14ac:dyDescent="0.3">
      <c r="A9" s="65">
        <v>40360</v>
      </c>
      <c r="B9" s="63">
        <v>12</v>
      </c>
      <c r="C9" s="64">
        <v>53546</v>
      </c>
      <c r="D9" s="33">
        <f t="shared" si="1"/>
        <v>11</v>
      </c>
      <c r="E9" s="79">
        <v>40391</v>
      </c>
      <c r="F9" s="78">
        <f t="shared" si="0"/>
        <v>55551.666666666664</v>
      </c>
    </row>
    <row r="10" spans="1:16" x14ac:dyDescent="0.3">
      <c r="A10" s="65">
        <v>40391</v>
      </c>
      <c r="B10" s="63">
        <v>15</v>
      </c>
      <c r="C10" s="64">
        <v>60414</v>
      </c>
      <c r="D10" s="33">
        <f t="shared" si="1"/>
        <v>10</v>
      </c>
      <c r="E10" s="79">
        <v>40422</v>
      </c>
      <c r="F10" s="78">
        <f t="shared" si="0"/>
        <v>90734.166666666672</v>
      </c>
    </row>
    <row r="11" spans="1:16" x14ac:dyDescent="0.3">
      <c r="A11" s="65">
        <v>40422</v>
      </c>
      <c r="B11" s="63">
        <v>19</v>
      </c>
      <c r="C11" s="64">
        <v>85779</v>
      </c>
      <c r="D11" s="33">
        <f t="shared" si="1"/>
        <v>7</v>
      </c>
      <c r="E11" s="79">
        <v>40452</v>
      </c>
      <c r="F11" s="78">
        <f t="shared" si="0"/>
        <v>117985.16666666667</v>
      </c>
    </row>
    <row r="12" spans="1:16" x14ac:dyDescent="0.3">
      <c r="A12" s="65">
        <v>40452</v>
      </c>
      <c r="B12" s="63">
        <v>17</v>
      </c>
      <c r="C12" s="64">
        <v>133207</v>
      </c>
      <c r="D12" s="33">
        <f t="shared" si="1"/>
        <v>3</v>
      </c>
      <c r="E12" s="79">
        <v>40483</v>
      </c>
      <c r="F12" s="78">
        <f t="shared" si="0"/>
        <v>129645.16666666667</v>
      </c>
    </row>
    <row r="13" spans="1:16" x14ac:dyDescent="0.3">
      <c r="A13" s="65">
        <v>40483</v>
      </c>
      <c r="B13" s="63">
        <v>25</v>
      </c>
      <c r="C13" s="64">
        <v>129836</v>
      </c>
      <c r="D13" s="33">
        <f t="shared" si="1"/>
        <v>4</v>
      </c>
      <c r="E13" s="79">
        <v>40513</v>
      </c>
      <c r="F13" s="78">
        <f t="shared" si="0"/>
        <v>77636</v>
      </c>
    </row>
    <row r="14" spans="1:16" x14ac:dyDescent="0.3">
      <c r="A14" s="79" t="s">
        <v>77</v>
      </c>
      <c r="B14" s="67">
        <v>6</v>
      </c>
      <c r="C14" s="68">
        <v>77776</v>
      </c>
      <c r="D14" s="33"/>
    </row>
    <row r="15" spans="1:16" x14ac:dyDescent="0.3">
      <c r="A15" s="79" t="s">
        <v>77</v>
      </c>
      <c r="B15" s="69">
        <v>11</v>
      </c>
      <c r="C15" s="70">
        <v>130361</v>
      </c>
    </row>
    <row r="16" spans="1:16" x14ac:dyDescent="0.3">
      <c r="A16" s="71">
        <v>40575</v>
      </c>
      <c r="B16" s="69">
        <v>15</v>
      </c>
      <c r="C16" s="70">
        <v>163777</v>
      </c>
    </row>
    <row r="17" spans="1:3" x14ac:dyDescent="0.3">
      <c r="A17" s="71">
        <v>40603</v>
      </c>
      <c r="B17" s="69">
        <v>21</v>
      </c>
      <c r="C17" s="70">
        <v>155939</v>
      </c>
    </row>
    <row r="18" spans="1:3" x14ac:dyDescent="0.3">
      <c r="A18" s="71">
        <v>40634</v>
      </c>
      <c r="B18" s="69">
        <v>19</v>
      </c>
      <c r="C18" s="70">
        <v>117282</v>
      </c>
    </row>
    <row r="19" spans="1:3" x14ac:dyDescent="0.3">
      <c r="A19" s="71">
        <v>40664</v>
      </c>
      <c r="B19" s="69">
        <v>16</v>
      </c>
      <c r="C19" s="70">
        <v>52595</v>
      </c>
    </row>
    <row r="20" spans="1:3" x14ac:dyDescent="0.3">
      <c r="A20" s="71">
        <v>40695</v>
      </c>
      <c r="B20" s="69">
        <v>11</v>
      </c>
      <c r="C20" s="70">
        <v>115434</v>
      </c>
    </row>
    <row r="21" spans="1:3" x14ac:dyDescent="0.3">
      <c r="A21" s="71">
        <v>40725</v>
      </c>
      <c r="B21" s="69">
        <v>9</v>
      </c>
      <c r="C21" s="70">
        <v>25867</v>
      </c>
    </row>
    <row r="22" spans="1:3" x14ac:dyDescent="0.3">
      <c r="A22" s="71">
        <v>40756</v>
      </c>
      <c r="B22" s="69">
        <v>7</v>
      </c>
      <c r="C22" s="70">
        <v>17401</v>
      </c>
    </row>
    <row r="23" spans="1:3" x14ac:dyDescent="0.3">
      <c r="A23" s="71">
        <v>40787</v>
      </c>
      <c r="B23" s="69">
        <v>16</v>
      </c>
      <c r="C23" s="70">
        <v>95007</v>
      </c>
    </row>
    <row r="24" spans="1:3" x14ac:dyDescent="0.3">
      <c r="A24" s="71">
        <v>40817</v>
      </c>
      <c r="B24" s="69">
        <v>17</v>
      </c>
      <c r="C24" s="70">
        <v>120889</v>
      </c>
    </row>
    <row r="25" spans="1:3" x14ac:dyDescent="0.3">
      <c r="A25" s="71">
        <v>40848</v>
      </c>
      <c r="B25" s="69">
        <v>24</v>
      </c>
      <c r="C25" s="70">
        <v>132374</v>
      </c>
    </row>
    <row r="26" spans="1:3" x14ac:dyDescent="0.3">
      <c r="A26" s="72">
        <v>40878</v>
      </c>
      <c r="B26" s="73">
        <v>13</v>
      </c>
      <c r="C26" s="74">
        <v>84030</v>
      </c>
    </row>
    <row r="27" spans="1:3" x14ac:dyDescent="0.3">
      <c r="A27" s="79" t="s">
        <v>77</v>
      </c>
      <c r="B27" s="63">
        <v>14</v>
      </c>
      <c r="C27" s="64">
        <v>127986</v>
      </c>
    </row>
    <row r="28" spans="1:3" x14ac:dyDescent="0.3">
      <c r="A28" s="65">
        <v>40940</v>
      </c>
      <c r="B28" s="63">
        <v>14</v>
      </c>
      <c r="C28" s="64">
        <v>229529</v>
      </c>
    </row>
    <row r="29" spans="1:3" x14ac:dyDescent="0.3">
      <c r="A29" s="65">
        <v>40969</v>
      </c>
      <c r="B29" s="63">
        <v>14</v>
      </c>
      <c r="C29" s="64">
        <v>74049</v>
      </c>
    </row>
    <row r="30" spans="1:3" x14ac:dyDescent="0.3">
      <c r="A30" s="65">
        <v>41000</v>
      </c>
      <c r="B30" s="63">
        <v>10</v>
      </c>
      <c r="C30" s="64">
        <v>121360</v>
      </c>
    </row>
    <row r="31" spans="1:3" x14ac:dyDescent="0.3">
      <c r="A31" s="65">
        <v>41030</v>
      </c>
      <c r="B31" s="63">
        <v>12</v>
      </c>
      <c r="C31" s="64">
        <v>96939</v>
      </c>
    </row>
    <row r="32" spans="1:3" x14ac:dyDescent="0.3">
      <c r="A32" s="65">
        <v>41061</v>
      </c>
      <c r="B32" s="63">
        <v>15</v>
      </c>
      <c r="C32" s="64">
        <v>101950</v>
      </c>
    </row>
    <row r="33" spans="1:23" x14ac:dyDescent="0.3">
      <c r="A33" s="65">
        <v>41091</v>
      </c>
      <c r="B33" s="63">
        <v>14</v>
      </c>
      <c r="C33" s="64">
        <v>50732</v>
      </c>
    </row>
    <row r="34" spans="1:23" x14ac:dyDescent="0.3">
      <c r="A34" s="65">
        <v>41122</v>
      </c>
      <c r="B34" s="63">
        <v>14</v>
      </c>
      <c r="C34" s="64">
        <v>80015</v>
      </c>
    </row>
    <row r="35" spans="1:23" x14ac:dyDescent="0.3">
      <c r="A35" s="65">
        <v>41153</v>
      </c>
      <c r="B35" s="63">
        <v>12</v>
      </c>
      <c r="C35" s="64">
        <v>87467</v>
      </c>
    </row>
    <row r="36" spans="1:23" x14ac:dyDescent="0.3">
      <c r="A36" s="65">
        <v>41183</v>
      </c>
      <c r="B36" s="63">
        <v>19</v>
      </c>
      <c r="C36" s="64">
        <v>104096</v>
      </c>
    </row>
    <row r="37" spans="1:23" x14ac:dyDescent="0.3">
      <c r="A37" s="65">
        <v>41214</v>
      </c>
      <c r="B37" s="63">
        <v>22</v>
      </c>
      <c r="C37" s="64">
        <v>158691</v>
      </c>
    </row>
    <row r="38" spans="1:23" x14ac:dyDescent="0.3">
      <c r="A38" s="66">
        <v>41244</v>
      </c>
      <c r="B38" s="67">
        <v>22</v>
      </c>
      <c r="C38" s="68">
        <v>76667</v>
      </c>
      <c r="F38" s="82">
        <f>AVERAGE(F2:F5)</f>
        <v>135146.58333333331</v>
      </c>
      <c r="G38" s="83" t="s">
        <v>81</v>
      </c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</row>
    <row r="39" spans="1:23" x14ac:dyDescent="0.3">
      <c r="A39" s="79" t="s">
        <v>77</v>
      </c>
      <c r="B39" s="69">
        <v>22</v>
      </c>
      <c r="C39" s="70">
        <v>169925</v>
      </c>
      <c r="F39" s="84">
        <f>F38/22</f>
        <v>6143.0265151515141</v>
      </c>
      <c r="G39" s="83" t="s">
        <v>80</v>
      </c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</row>
    <row r="40" spans="1:23" x14ac:dyDescent="0.3">
      <c r="A40" s="71">
        <v>40940</v>
      </c>
      <c r="B40" s="69">
        <v>16</v>
      </c>
      <c r="C40" s="70">
        <v>103649</v>
      </c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</row>
    <row r="41" spans="1:23" x14ac:dyDescent="0.3">
      <c r="A41" s="71" t="s">
        <v>67</v>
      </c>
      <c r="B41" s="69">
        <v>21</v>
      </c>
      <c r="C41" s="70">
        <v>139094</v>
      </c>
      <c r="F41" s="82">
        <f>AVERAGE(C65:C68)</f>
        <v>138620.25</v>
      </c>
      <c r="G41" s="83" t="s">
        <v>82</v>
      </c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</row>
    <row r="42" spans="1:23" x14ac:dyDescent="0.3">
      <c r="A42" s="71" t="s">
        <v>68</v>
      </c>
      <c r="B42" s="69">
        <v>18</v>
      </c>
      <c r="C42" s="70">
        <v>90052</v>
      </c>
      <c r="F42" s="84">
        <f>F41/22</f>
        <v>6300.920454545455</v>
      </c>
      <c r="G42" s="83" t="s">
        <v>80</v>
      </c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</row>
    <row r="43" spans="1:23" x14ac:dyDescent="0.3">
      <c r="A43" s="71" t="s">
        <v>69</v>
      </c>
      <c r="B43" s="69">
        <v>10</v>
      </c>
      <c r="C43" s="70">
        <v>46781</v>
      </c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</row>
    <row r="44" spans="1:23" x14ac:dyDescent="0.3">
      <c r="A44" s="71" t="s">
        <v>70</v>
      </c>
      <c r="B44" s="69">
        <v>14</v>
      </c>
      <c r="C44" s="70">
        <v>178122</v>
      </c>
      <c r="F44" s="84">
        <f>F42*2</f>
        <v>12601.84090909091</v>
      </c>
      <c r="G44" s="83" t="s">
        <v>83</v>
      </c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</row>
    <row r="45" spans="1:23" x14ac:dyDescent="0.3">
      <c r="A45" s="71" t="s">
        <v>71</v>
      </c>
      <c r="B45" s="69">
        <v>17</v>
      </c>
      <c r="C45" s="70">
        <v>44683</v>
      </c>
    </row>
    <row r="46" spans="1:23" x14ac:dyDescent="0.3">
      <c r="A46" s="71" t="s">
        <v>72</v>
      </c>
      <c r="B46" s="69">
        <v>11</v>
      </c>
      <c r="C46" s="70">
        <v>60374</v>
      </c>
    </row>
    <row r="47" spans="1:23" x14ac:dyDescent="0.3">
      <c r="A47" s="71" t="s">
        <v>73</v>
      </c>
      <c r="B47" s="69">
        <v>16</v>
      </c>
      <c r="C47" s="70">
        <v>87071</v>
      </c>
    </row>
    <row r="48" spans="1:23" x14ac:dyDescent="0.3">
      <c r="A48" s="71" t="s">
        <v>74</v>
      </c>
      <c r="B48" s="69">
        <v>18</v>
      </c>
      <c r="C48" s="70">
        <v>138701</v>
      </c>
    </row>
    <row r="49" spans="1:3" x14ac:dyDescent="0.3">
      <c r="A49" s="71" t="s">
        <v>75</v>
      </c>
      <c r="B49" s="69">
        <v>19</v>
      </c>
      <c r="C49" s="70">
        <v>113173</v>
      </c>
    </row>
    <row r="50" spans="1:3" x14ac:dyDescent="0.3">
      <c r="A50" s="71" t="s">
        <v>76</v>
      </c>
      <c r="B50" s="73">
        <v>12</v>
      </c>
      <c r="C50" s="74">
        <v>81137</v>
      </c>
    </row>
    <row r="51" spans="1:3" x14ac:dyDescent="0.3">
      <c r="A51" s="79" t="s">
        <v>77</v>
      </c>
      <c r="B51" s="63">
        <v>23</v>
      </c>
      <c r="C51" s="64">
        <v>169577</v>
      </c>
    </row>
    <row r="52" spans="1:3" x14ac:dyDescent="0.3">
      <c r="A52" s="75">
        <v>40940</v>
      </c>
      <c r="B52" s="63">
        <v>14</v>
      </c>
      <c r="C52" s="64">
        <v>124465</v>
      </c>
    </row>
    <row r="53" spans="1:3" x14ac:dyDescent="0.3">
      <c r="A53" s="75">
        <v>40969</v>
      </c>
      <c r="B53" s="63">
        <v>24</v>
      </c>
      <c r="C53" s="64">
        <v>178241</v>
      </c>
    </row>
    <row r="54" spans="1:3" x14ac:dyDescent="0.3">
      <c r="A54" s="75">
        <v>41000</v>
      </c>
      <c r="B54" s="63">
        <v>15</v>
      </c>
      <c r="C54" s="64">
        <v>137197</v>
      </c>
    </row>
    <row r="55" spans="1:3" x14ac:dyDescent="0.3">
      <c r="A55" s="75">
        <v>41030</v>
      </c>
      <c r="B55" s="63">
        <v>8</v>
      </c>
      <c r="C55" s="64">
        <v>44389</v>
      </c>
    </row>
    <row r="56" spans="1:3" x14ac:dyDescent="0.3">
      <c r="A56" s="75">
        <v>41061</v>
      </c>
      <c r="B56" s="63">
        <v>13</v>
      </c>
      <c r="C56" s="64">
        <v>188327</v>
      </c>
    </row>
    <row r="57" spans="1:3" x14ac:dyDescent="0.3">
      <c r="A57" s="75">
        <v>41091</v>
      </c>
      <c r="B57" s="63">
        <v>20</v>
      </c>
      <c r="C57" s="64">
        <v>60216</v>
      </c>
    </row>
    <row r="58" spans="1:3" x14ac:dyDescent="0.3">
      <c r="A58" s="75">
        <v>41122</v>
      </c>
      <c r="B58" s="63">
        <v>17</v>
      </c>
      <c r="C58" s="64">
        <v>33487</v>
      </c>
    </row>
    <row r="59" spans="1:3" x14ac:dyDescent="0.3">
      <c r="A59" s="75">
        <v>41153</v>
      </c>
      <c r="B59" s="63">
        <v>14</v>
      </c>
      <c r="C59" s="64">
        <v>90552</v>
      </c>
    </row>
    <row r="60" spans="1:3" x14ac:dyDescent="0.3">
      <c r="A60" s="75">
        <v>41183</v>
      </c>
      <c r="B60" s="63">
        <v>12</v>
      </c>
      <c r="C60" s="64">
        <v>129548</v>
      </c>
    </row>
    <row r="61" spans="1:3" x14ac:dyDescent="0.3">
      <c r="A61" s="75">
        <v>41214</v>
      </c>
      <c r="B61" s="63">
        <v>20</v>
      </c>
      <c r="C61" s="64">
        <v>113845</v>
      </c>
    </row>
    <row r="62" spans="1:3" x14ac:dyDescent="0.3">
      <c r="A62" s="66">
        <v>41244</v>
      </c>
      <c r="B62" s="67">
        <v>9</v>
      </c>
      <c r="C62" s="68">
        <v>77728</v>
      </c>
    </row>
    <row r="63" spans="1:3" x14ac:dyDescent="0.3">
      <c r="A63" s="79" t="s">
        <v>77</v>
      </c>
      <c r="B63" s="69">
        <v>21</v>
      </c>
      <c r="C63" s="70">
        <v>179135</v>
      </c>
    </row>
    <row r="64" spans="1:3" x14ac:dyDescent="0.3">
      <c r="A64" s="71">
        <v>40940</v>
      </c>
      <c r="B64" s="69">
        <v>14</v>
      </c>
      <c r="C64" s="70">
        <v>93424</v>
      </c>
    </row>
    <row r="65" spans="1:6" x14ac:dyDescent="0.3">
      <c r="A65" s="71">
        <v>40969</v>
      </c>
      <c r="B65" s="69">
        <v>8</v>
      </c>
      <c r="C65" s="70">
        <v>102961</v>
      </c>
    </row>
    <row r="66" spans="1:6" x14ac:dyDescent="0.3">
      <c r="A66" s="71">
        <v>41000</v>
      </c>
      <c r="B66" s="69">
        <v>10</v>
      </c>
      <c r="C66" s="70">
        <v>156870</v>
      </c>
    </row>
    <row r="67" spans="1:6" x14ac:dyDescent="0.3">
      <c r="A67" s="71">
        <v>41030</v>
      </c>
      <c r="B67" s="69">
        <v>11</v>
      </c>
      <c r="C67" s="70">
        <v>134995</v>
      </c>
    </row>
    <row r="68" spans="1:6" x14ac:dyDescent="0.3">
      <c r="A68" s="71">
        <v>41061</v>
      </c>
      <c r="B68" s="69">
        <v>14</v>
      </c>
      <c r="C68" s="70">
        <v>159655</v>
      </c>
    </row>
    <row r="69" spans="1:6" x14ac:dyDescent="0.3">
      <c r="A69" s="71">
        <v>41091</v>
      </c>
      <c r="B69" s="69">
        <v>13</v>
      </c>
      <c r="C69" s="70">
        <v>85912</v>
      </c>
    </row>
    <row r="70" spans="1:6" x14ac:dyDescent="0.3">
      <c r="A70" s="71">
        <v>41122</v>
      </c>
      <c r="B70" s="69">
        <v>30</v>
      </c>
      <c r="C70" s="70">
        <v>81619</v>
      </c>
    </row>
    <row r="71" spans="1:6" x14ac:dyDescent="0.3">
      <c r="A71" s="71">
        <v>41153</v>
      </c>
      <c r="B71" s="69">
        <v>15</v>
      </c>
      <c r="C71" s="70">
        <v>98529</v>
      </c>
    </row>
    <row r="72" spans="1:6" x14ac:dyDescent="0.3">
      <c r="A72" s="71">
        <v>41183</v>
      </c>
      <c r="B72" s="69">
        <v>22</v>
      </c>
      <c r="C72" s="70">
        <v>81470</v>
      </c>
    </row>
    <row r="73" spans="1:6" x14ac:dyDescent="0.3">
      <c r="A73" s="71">
        <v>41214</v>
      </c>
      <c r="B73" s="69">
        <v>21</v>
      </c>
      <c r="C73" s="70">
        <v>129952</v>
      </c>
    </row>
    <row r="74" spans="1:6" x14ac:dyDescent="0.3">
      <c r="A74" s="72">
        <v>41244</v>
      </c>
      <c r="B74" s="73">
        <v>13</v>
      </c>
      <c r="C74" s="74">
        <v>68478</v>
      </c>
      <c r="E74" s="58"/>
      <c r="F74" s="58"/>
    </row>
    <row r="75" spans="1:6" x14ac:dyDescent="0.3">
      <c r="A75" s="79" t="s">
        <v>77</v>
      </c>
      <c r="B75" s="63">
        <v>17</v>
      </c>
      <c r="C75" s="64">
        <v>201513</v>
      </c>
    </row>
    <row r="76" spans="1:6" x14ac:dyDescent="0.3">
      <c r="A76" s="65">
        <v>40940</v>
      </c>
      <c r="B76" s="63">
        <v>19</v>
      </c>
      <c r="C76" s="64">
        <v>110021</v>
      </c>
    </row>
    <row r="77" spans="1:6" x14ac:dyDescent="0.3">
      <c r="A77" s="65">
        <v>40969</v>
      </c>
      <c r="B77" s="63">
        <v>22</v>
      </c>
      <c r="C77" s="64">
        <v>142453</v>
      </c>
    </row>
    <row r="78" spans="1:6" x14ac:dyDescent="0.3">
      <c r="A78" s="65">
        <v>41000</v>
      </c>
      <c r="B78" s="63">
        <v>19</v>
      </c>
      <c r="C78" s="64">
        <v>114556</v>
      </c>
    </row>
    <row r="79" spans="1:6" x14ac:dyDescent="0.3">
      <c r="A79" s="65">
        <v>41030</v>
      </c>
      <c r="B79" s="63">
        <v>11</v>
      </c>
      <c r="C79" s="64">
        <v>115819</v>
      </c>
    </row>
    <row r="80" spans="1:6" x14ac:dyDescent="0.3">
      <c r="A80" s="65">
        <v>41061</v>
      </c>
      <c r="B80" s="63">
        <v>16</v>
      </c>
      <c r="C80" s="64">
        <v>180623</v>
      </c>
    </row>
    <row r="81" spans="1:3" x14ac:dyDescent="0.3">
      <c r="A81" s="65">
        <v>41091</v>
      </c>
      <c r="B81" s="63">
        <v>27</v>
      </c>
      <c r="C81" s="64">
        <v>104145</v>
      </c>
    </row>
    <row r="82" spans="1:3" x14ac:dyDescent="0.3">
      <c r="A82" s="65">
        <v>41122</v>
      </c>
      <c r="B82" s="63">
        <v>28</v>
      </c>
      <c r="C82" s="64">
        <v>48912</v>
      </c>
    </row>
    <row r="83" spans="1:3" x14ac:dyDescent="0.3">
      <c r="A83" s="66">
        <v>41153</v>
      </c>
      <c r="B83" s="67">
        <v>18</v>
      </c>
      <c r="C83" s="68">
        <v>146625</v>
      </c>
    </row>
  </sheetData>
  <mergeCells count="1">
    <mergeCell ref="B1:C1"/>
  </mergeCells>
  <pageMargins left="0.7" right="0.7" top="0.75" bottom="0.75" header="0.3" footer="0.3"/>
  <pageSetup orientation="portrait" r:id="rId1"/>
  <ignoredErrors>
    <ignoredError sqref="I2 I3:I7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19"/>
  <sheetViews>
    <sheetView workbookViewId="0">
      <selection activeCell="C24" sqref="C24"/>
    </sheetView>
  </sheetViews>
  <sheetFormatPr defaultRowHeight="14.4" x14ac:dyDescent="0.3"/>
  <cols>
    <col min="2" max="2" width="19.33203125" bestFit="1" customWidth="1"/>
    <col min="3" max="3" width="12.5546875" customWidth="1"/>
  </cols>
  <sheetData>
    <row r="10" spans="2:5" ht="15" thickBot="1" x14ac:dyDescent="0.35"/>
    <row r="11" spans="2:5" ht="15" thickBot="1" x14ac:dyDescent="0.35">
      <c r="B11" s="53" t="s">
        <v>31</v>
      </c>
      <c r="C11" s="54">
        <v>2010</v>
      </c>
      <c r="D11" s="55">
        <v>2015</v>
      </c>
      <c r="E11" s="33"/>
    </row>
    <row r="12" spans="2:5" x14ac:dyDescent="0.3">
      <c r="B12" s="51" t="s">
        <v>14</v>
      </c>
      <c r="C12" s="20">
        <f>'2010_TEA'!C3</f>
        <v>65063.013698630137</v>
      </c>
      <c r="D12" s="52">
        <f>'2015_TEA'!D22</f>
        <v>100695.89041095891</v>
      </c>
    </row>
    <row r="13" spans="2:5" x14ac:dyDescent="0.3">
      <c r="B13" s="46" t="s">
        <v>32</v>
      </c>
      <c r="C13" s="18">
        <f>'2010_TEA'!C4</f>
        <v>36164.383561643837</v>
      </c>
      <c r="D13" s="47">
        <f>'2015_TEA'!D23+'2015_TEA'!D30</f>
        <v>44354.230459307015</v>
      </c>
    </row>
    <row r="14" spans="2:5" x14ac:dyDescent="0.3">
      <c r="B14" s="46" t="s">
        <v>16</v>
      </c>
      <c r="C14" s="18">
        <f>'2010_TEA'!C5</f>
        <v>11988.235294117647</v>
      </c>
      <c r="D14" s="47">
        <f>'2015_TEA'!D24</f>
        <v>13494.117647058823</v>
      </c>
    </row>
    <row r="15" spans="2:5" x14ac:dyDescent="0.3">
      <c r="B15" s="46" t="s">
        <v>61</v>
      </c>
      <c r="C15" s="18">
        <f>'2010_TEA'!C6</f>
        <v>52619.178082191778</v>
      </c>
      <c r="D15" s="47">
        <f>'2015_TEA'!D25</f>
        <v>59331.506849315068</v>
      </c>
    </row>
    <row r="16" spans="2:5" x14ac:dyDescent="0.3">
      <c r="B16" s="46" t="s">
        <v>19</v>
      </c>
      <c r="C16" s="18">
        <f>'2010_TEA'!C7</f>
        <v>53073.972602739726</v>
      </c>
      <c r="D16" s="47">
        <f>'2015_TEA'!D26</f>
        <v>59846.575342465752</v>
      </c>
    </row>
    <row r="17" spans="2:4" x14ac:dyDescent="0.3">
      <c r="B17" s="46" t="s">
        <v>20</v>
      </c>
      <c r="C17" s="18">
        <f>'2010_TEA'!C8</f>
        <v>59315.068493150684</v>
      </c>
      <c r="D17" s="47">
        <f>'2015_TEA'!D27</f>
        <v>64646.575342465752</v>
      </c>
    </row>
    <row r="18" spans="2:4" x14ac:dyDescent="0.3">
      <c r="B18" s="46" t="s">
        <v>21</v>
      </c>
      <c r="C18" s="18">
        <f>'2010_TEA'!C9</f>
        <v>11011.764705882353</v>
      </c>
      <c r="D18" s="47">
        <f>'2015_TEA'!D28</f>
        <v>12394.117647058823</v>
      </c>
    </row>
    <row r="19" spans="2:4" ht="15" thickBot="1" x14ac:dyDescent="0.35">
      <c r="B19" s="48" t="s">
        <v>22</v>
      </c>
      <c r="C19" s="49">
        <f>'2010_TEA'!C10</f>
        <v>92997.260273972599</v>
      </c>
      <c r="D19" s="50">
        <f>'2015_TEA'!D29</f>
        <v>112284.93150684932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5" sqref="D5"/>
    </sheetView>
  </sheetViews>
  <sheetFormatPr defaultRowHeight="14.4" x14ac:dyDescent="0.3"/>
  <cols>
    <col min="1" max="1" width="32.6640625" bestFit="1" customWidth="1"/>
    <col min="2" max="2" width="9.33203125" bestFit="1" customWidth="1"/>
    <col min="3" max="3" width="10.5546875" bestFit="1" customWidth="1"/>
    <col min="4" max="4" width="11.5546875" bestFit="1" customWidth="1"/>
    <col min="5" max="7" width="8.5546875" bestFit="1" customWidth="1"/>
    <col min="8" max="8" width="8.33203125" bestFit="1" customWidth="1"/>
    <col min="9" max="9" width="8.5546875" bestFit="1" customWidth="1"/>
    <col min="10" max="10" width="7.5546875" bestFit="1" customWidth="1"/>
  </cols>
  <sheetData>
    <row r="1" spans="1:10" x14ac:dyDescent="0.3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 t="s">
        <v>10</v>
      </c>
      <c r="B2" s="2">
        <v>1</v>
      </c>
      <c r="C2" s="2">
        <v>977</v>
      </c>
      <c r="D2" s="2">
        <f>VLOOKUP(A2,UPDATED_SPECART1!C:L,3,FALSE)</f>
        <v>86786</v>
      </c>
      <c r="E2" s="2">
        <v>68</v>
      </c>
      <c r="F2" s="2">
        <v>29</v>
      </c>
      <c r="G2" s="2">
        <v>3</v>
      </c>
      <c r="H2" s="2">
        <v>1</v>
      </c>
      <c r="I2" s="2">
        <v>1</v>
      </c>
      <c r="J2" s="2">
        <v>1</v>
      </c>
    </row>
    <row r="3" spans="1:10" x14ac:dyDescent="0.3">
      <c r="A3" s="2" t="s">
        <v>11</v>
      </c>
      <c r="B3" s="2">
        <v>2</v>
      </c>
      <c r="C3" s="2">
        <v>978</v>
      </c>
      <c r="D3" s="34">
        <f>VLOOKUP(A3,UPDATED_SPECART1!C:L,3,FALSE)</f>
        <v>0</v>
      </c>
      <c r="E3" s="34">
        <v>68</v>
      </c>
      <c r="F3" s="34">
        <v>29</v>
      </c>
      <c r="G3" s="34">
        <v>3</v>
      </c>
      <c r="H3" s="2">
        <v>2</v>
      </c>
      <c r="I3" s="2">
        <v>1</v>
      </c>
      <c r="J3" s="2">
        <v>1</v>
      </c>
    </row>
    <row r="4" spans="1:10" x14ac:dyDescent="0.3">
      <c r="A4" s="2" t="s">
        <v>12</v>
      </c>
      <c r="B4" s="2">
        <v>3</v>
      </c>
      <c r="C4" s="2">
        <v>928</v>
      </c>
      <c r="D4" s="34">
        <f>VLOOKUP(A4,UPDATED_SPECART1!C:L,3,FALSE)</f>
        <v>3409.0191534346068</v>
      </c>
      <c r="E4" s="2">
        <v>34.72</v>
      </c>
      <c r="F4" s="2">
        <v>38.47</v>
      </c>
      <c r="G4" s="2">
        <v>26.81</v>
      </c>
      <c r="H4" s="2">
        <v>0</v>
      </c>
      <c r="I4" s="2">
        <v>2</v>
      </c>
      <c r="J4" s="2">
        <v>2</v>
      </c>
    </row>
    <row r="5" spans="1:10" x14ac:dyDescent="0.3">
      <c r="A5" s="2" t="s">
        <v>13</v>
      </c>
      <c r="B5" s="2">
        <v>4</v>
      </c>
      <c r="C5" s="2">
        <v>927</v>
      </c>
      <c r="D5" s="34">
        <f>VLOOKUP(A5,UPDATED_SPECART1!C:L,3,FALSE)</f>
        <v>3048.0383808119691</v>
      </c>
      <c r="E5" s="2">
        <v>34.72</v>
      </c>
      <c r="F5" s="2">
        <v>38.47</v>
      </c>
      <c r="G5" s="2">
        <v>26.81</v>
      </c>
      <c r="H5" s="2">
        <v>0</v>
      </c>
      <c r="I5" s="2">
        <v>2</v>
      </c>
      <c r="J5" s="2">
        <v>2</v>
      </c>
    </row>
    <row r="6" spans="1:10" x14ac:dyDescent="0.3">
      <c r="A6" s="2" t="s">
        <v>14</v>
      </c>
      <c r="B6" s="2">
        <v>5</v>
      </c>
      <c r="C6" s="2">
        <v>801</v>
      </c>
      <c r="D6" s="34">
        <f>VLOOKUP(A6,UPDATED_SPECART1!C:L,3,FALSE)</f>
        <v>65063.013698630137</v>
      </c>
      <c r="E6" s="2">
        <v>80.569999999999993</v>
      </c>
      <c r="F6" s="2">
        <v>10.92</v>
      </c>
      <c r="G6" s="2">
        <v>8.51</v>
      </c>
      <c r="H6" s="2">
        <v>0</v>
      </c>
      <c r="I6" s="2">
        <v>3</v>
      </c>
      <c r="J6" s="2">
        <v>3</v>
      </c>
    </row>
    <row r="7" spans="1:10" x14ac:dyDescent="0.3">
      <c r="A7" s="2" t="s">
        <v>32</v>
      </c>
      <c r="B7" s="2">
        <v>7</v>
      </c>
      <c r="C7" s="2">
        <v>932</v>
      </c>
      <c r="D7" s="34">
        <f>VLOOKUP(A7,UPDATED_SPECART1!C:L,3,FALSE)</f>
        <v>36164.383561643837</v>
      </c>
      <c r="E7" s="2">
        <v>70.63</v>
      </c>
      <c r="F7" s="2">
        <v>16.98</v>
      </c>
      <c r="G7" s="2">
        <v>12.39</v>
      </c>
      <c r="H7" s="2">
        <v>0</v>
      </c>
      <c r="I7" s="2">
        <v>4</v>
      </c>
      <c r="J7" s="2">
        <v>4</v>
      </c>
    </row>
    <row r="8" spans="1:10" s="33" customFormat="1" x14ac:dyDescent="0.3">
      <c r="A8" s="34" t="s">
        <v>35</v>
      </c>
      <c r="B8" s="34">
        <v>7.6666666666666696</v>
      </c>
      <c r="C8" s="34">
        <v>934</v>
      </c>
      <c r="D8" s="34">
        <f>VLOOKUP(A8,UPDATED_SPECART1!C:L,3,FALSE)</f>
        <v>2600</v>
      </c>
      <c r="E8" s="34">
        <v>70.63</v>
      </c>
      <c r="F8" s="34">
        <v>16.98</v>
      </c>
      <c r="G8" s="34">
        <v>12.39</v>
      </c>
      <c r="H8" s="34">
        <v>0</v>
      </c>
      <c r="I8" s="34">
        <v>4</v>
      </c>
      <c r="J8" s="34">
        <v>4</v>
      </c>
    </row>
    <row r="9" spans="1:10" x14ac:dyDescent="0.3">
      <c r="A9" s="2" t="s">
        <v>16</v>
      </c>
      <c r="B9" s="34">
        <v>8.8095238095238102</v>
      </c>
      <c r="C9" s="2">
        <v>908</v>
      </c>
      <c r="D9" s="34">
        <f>VLOOKUP(A9,UPDATED_SPECART1!C:L,3,FALSE)</f>
        <v>11988.235294117647</v>
      </c>
      <c r="E9" s="2">
        <v>88.05</v>
      </c>
      <c r="F9" s="2">
        <v>4.9800000000000004</v>
      </c>
      <c r="G9" s="2">
        <v>6.97</v>
      </c>
      <c r="H9" s="2">
        <v>0</v>
      </c>
      <c r="I9" s="2">
        <v>5</v>
      </c>
      <c r="J9" s="2">
        <v>5</v>
      </c>
    </row>
    <row r="10" spans="1:10" x14ac:dyDescent="0.3">
      <c r="A10" s="2" t="s">
        <v>55</v>
      </c>
      <c r="B10" s="34">
        <v>9.9523809523809508</v>
      </c>
      <c r="C10" s="2">
        <v>902</v>
      </c>
      <c r="D10" s="34">
        <f>VLOOKUP(A10,UPDATED_SPECART1!C:L,3,FALSE)</f>
        <v>17662</v>
      </c>
      <c r="E10" s="2">
        <v>71.64</v>
      </c>
      <c r="F10" s="2">
        <v>22.64</v>
      </c>
      <c r="G10" s="2">
        <v>5.72</v>
      </c>
      <c r="H10" s="2">
        <v>0</v>
      </c>
      <c r="I10" s="2">
        <v>6</v>
      </c>
      <c r="J10" s="2">
        <v>5</v>
      </c>
    </row>
    <row r="11" spans="1:10" x14ac:dyDescent="0.3">
      <c r="A11" s="2" t="s">
        <v>61</v>
      </c>
      <c r="B11" s="34">
        <v>11.0952380952381</v>
      </c>
      <c r="C11" s="2">
        <v>904</v>
      </c>
      <c r="D11" s="34">
        <f>VLOOKUP(A11,UPDATED_SPECART1!C:L,3,FALSE)</f>
        <v>52619.178082191778</v>
      </c>
      <c r="E11" s="2">
        <v>94.44</v>
      </c>
      <c r="F11" s="2">
        <v>4.4400000000000004</v>
      </c>
      <c r="G11" s="2">
        <v>1.1200000000000001</v>
      </c>
      <c r="H11" s="2">
        <v>0</v>
      </c>
      <c r="I11" s="2">
        <v>7</v>
      </c>
      <c r="J11" s="2">
        <v>5</v>
      </c>
    </row>
    <row r="12" spans="1:10" x14ac:dyDescent="0.3">
      <c r="A12" s="2" t="s">
        <v>19</v>
      </c>
      <c r="B12" s="34">
        <v>12.2380952380952</v>
      </c>
      <c r="C12" s="2">
        <v>900</v>
      </c>
      <c r="D12" s="34">
        <f>VLOOKUP(A12,UPDATED_SPECART1!C:L,3,FALSE)</f>
        <v>53073.972602739726</v>
      </c>
      <c r="E12" s="2">
        <v>91.61</v>
      </c>
      <c r="F12" s="2">
        <v>4.6399999999999997</v>
      </c>
      <c r="G12" s="2">
        <v>3.75</v>
      </c>
      <c r="H12" s="2">
        <v>0</v>
      </c>
      <c r="I12" s="2">
        <v>8</v>
      </c>
      <c r="J12" s="2">
        <v>5</v>
      </c>
    </row>
    <row r="13" spans="1:10" x14ac:dyDescent="0.3">
      <c r="A13" s="2" t="s">
        <v>20</v>
      </c>
      <c r="B13" s="34">
        <v>13.380952380952399</v>
      </c>
      <c r="C13" s="2">
        <v>903</v>
      </c>
      <c r="D13" s="34">
        <f>VLOOKUP(A13,UPDATED_SPECART1!C:L,3,FALSE)</f>
        <v>59315.068493150684</v>
      </c>
      <c r="E13" s="2">
        <v>91.44</v>
      </c>
      <c r="F13" s="2">
        <v>4.5199999999999996</v>
      </c>
      <c r="G13" s="2">
        <v>4.05</v>
      </c>
      <c r="H13" s="2">
        <v>0</v>
      </c>
      <c r="I13" s="2">
        <v>9</v>
      </c>
      <c r="J13" s="2">
        <v>5</v>
      </c>
    </row>
    <row r="14" spans="1:10" x14ac:dyDescent="0.3">
      <c r="A14" s="2" t="s">
        <v>21</v>
      </c>
      <c r="B14" s="34">
        <v>14.523809523809501</v>
      </c>
      <c r="C14" s="2">
        <v>899</v>
      </c>
      <c r="D14" s="34">
        <f>VLOOKUP(A14,UPDATED_SPECART1!C:L,3,FALSE)</f>
        <v>11011.764705882353</v>
      </c>
      <c r="E14" s="2">
        <v>85.77</v>
      </c>
      <c r="F14" s="2">
        <v>8.3000000000000007</v>
      </c>
      <c r="G14" s="2">
        <v>5.93</v>
      </c>
      <c r="H14" s="2">
        <v>0</v>
      </c>
      <c r="I14" s="2">
        <v>10</v>
      </c>
      <c r="J14" s="2">
        <v>5</v>
      </c>
    </row>
    <row r="15" spans="1:10" x14ac:dyDescent="0.3">
      <c r="A15" s="2" t="s">
        <v>22</v>
      </c>
      <c r="B15" s="34">
        <v>15.6666666666667</v>
      </c>
      <c r="C15" s="2">
        <v>898</v>
      </c>
      <c r="D15" s="34">
        <f>VLOOKUP(A15,UPDATED_SPECART1!C:L,3,FALSE)</f>
        <v>92997.260273972599</v>
      </c>
      <c r="E15" s="2">
        <v>93.5</v>
      </c>
      <c r="F15" s="2">
        <v>4.0199999999999996</v>
      </c>
      <c r="G15" s="2">
        <v>2.48</v>
      </c>
      <c r="H15" s="2">
        <v>0</v>
      </c>
      <c r="I15" s="2">
        <v>11</v>
      </c>
      <c r="J15" s="2">
        <v>5</v>
      </c>
    </row>
    <row r="16" spans="1:10" x14ac:dyDescent="0.3">
      <c r="A16" s="2" t="s">
        <v>23</v>
      </c>
      <c r="B16" s="34">
        <v>16.8095238095238</v>
      </c>
      <c r="C16" s="2">
        <v>2994</v>
      </c>
      <c r="D16" s="34">
        <f>VLOOKUP(A16,UPDATED_SPECART1!C:L,3,FALSE)</f>
        <v>5090</v>
      </c>
      <c r="E16" s="2">
        <v>77.64</v>
      </c>
      <c r="F16" s="2">
        <v>11.53</v>
      </c>
      <c r="G16" s="2">
        <v>10.83</v>
      </c>
      <c r="H16" s="2">
        <v>0</v>
      </c>
      <c r="I16" s="2">
        <v>12</v>
      </c>
      <c r="J16" s="2">
        <v>6</v>
      </c>
    </row>
    <row r="17" spans="1:10" x14ac:dyDescent="0.3">
      <c r="A17" s="2" t="s">
        <v>24</v>
      </c>
      <c r="B17" s="34">
        <v>17.952380952380899</v>
      </c>
      <c r="C17" s="2">
        <v>3182</v>
      </c>
      <c r="D17" s="34">
        <f>VLOOKUP(A17,UPDATED_SPECART1!C:L,3,FALSE)</f>
        <v>15336</v>
      </c>
      <c r="E17" s="2">
        <v>36.869999999999997</v>
      </c>
      <c r="F17" s="2">
        <v>37.32</v>
      </c>
      <c r="G17" s="2">
        <v>25.81</v>
      </c>
      <c r="H17" s="2">
        <v>0</v>
      </c>
      <c r="I17" s="2">
        <v>13</v>
      </c>
      <c r="J17" s="2">
        <v>7</v>
      </c>
    </row>
  </sheetData>
  <pageMargins left="0.7" right="0.7" top="0.75" bottom="0.75" header="0.3" footer="0.3"/>
  <pageSetup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2" sqref="D2:D17"/>
    </sheetView>
  </sheetViews>
  <sheetFormatPr defaultRowHeight="14.4" x14ac:dyDescent="0.3"/>
  <cols>
    <col min="1" max="1" width="32.6640625" bestFit="1" customWidth="1"/>
    <col min="2" max="2" width="9.33203125" bestFit="1" customWidth="1"/>
    <col min="3" max="3" width="10.5546875" bestFit="1" customWidth="1"/>
    <col min="4" max="4" width="11.5546875" bestFit="1" customWidth="1"/>
    <col min="5" max="7" width="8.5546875" bestFit="1" customWidth="1"/>
    <col min="8" max="8" width="8.33203125" bestFit="1" customWidth="1"/>
    <col min="9" max="9" width="8.5546875" bestFit="1" customWidth="1"/>
    <col min="10" max="10" width="7.5546875" bestFit="1" customWidth="1"/>
  </cols>
  <sheetData>
    <row r="1" spans="1:10" x14ac:dyDescent="0.3">
      <c r="A1" s="4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">
      <c r="A2" s="4" t="s">
        <v>10</v>
      </c>
      <c r="B2" s="4">
        <v>1</v>
      </c>
      <c r="C2" s="4">
        <v>977</v>
      </c>
      <c r="D2" s="4">
        <f>VLOOKUP(A2,UPDATED_SPECART1!C:L,4,FALSE)</f>
        <v>103241</v>
      </c>
      <c r="E2" s="4">
        <v>68</v>
      </c>
      <c r="F2" s="4">
        <v>29</v>
      </c>
      <c r="G2" s="4">
        <v>3</v>
      </c>
      <c r="H2" s="4">
        <v>1</v>
      </c>
      <c r="I2" s="4">
        <v>1</v>
      </c>
      <c r="J2" s="4">
        <v>1</v>
      </c>
    </row>
    <row r="3" spans="1:10" x14ac:dyDescent="0.3">
      <c r="A3" s="4" t="s">
        <v>11</v>
      </c>
      <c r="B3" s="4">
        <v>2</v>
      </c>
      <c r="C3" s="4">
        <v>978</v>
      </c>
      <c r="D3" s="34">
        <f>VLOOKUP(A3,UPDATED_SPECART1!C:L,4,FALSE)</f>
        <v>0</v>
      </c>
      <c r="E3" s="34">
        <v>68</v>
      </c>
      <c r="F3" s="34">
        <v>29</v>
      </c>
      <c r="G3" s="34">
        <v>3</v>
      </c>
      <c r="H3" s="4">
        <v>2</v>
      </c>
      <c r="I3" s="4">
        <v>1</v>
      </c>
      <c r="J3" s="4">
        <v>1</v>
      </c>
    </row>
    <row r="4" spans="1:10" x14ac:dyDescent="0.3">
      <c r="A4" s="4" t="s">
        <v>12</v>
      </c>
      <c r="B4" s="4">
        <v>3</v>
      </c>
      <c r="C4" s="4">
        <v>928</v>
      </c>
      <c r="D4" s="34">
        <f>VLOOKUP(A4,UPDATED_SPECART1!C:L,4,FALSE)</f>
        <v>6653.1724086053619</v>
      </c>
      <c r="E4" s="4">
        <v>34.72</v>
      </c>
      <c r="F4" s="4">
        <v>38.47</v>
      </c>
      <c r="G4" s="4">
        <v>26.81</v>
      </c>
      <c r="H4" s="4">
        <v>0</v>
      </c>
      <c r="I4" s="4">
        <v>2</v>
      </c>
      <c r="J4" s="4">
        <v>2</v>
      </c>
    </row>
    <row r="5" spans="1:10" x14ac:dyDescent="0.3">
      <c r="A5" s="4" t="s">
        <v>13</v>
      </c>
      <c r="B5" s="4">
        <v>4</v>
      </c>
      <c r="C5" s="4">
        <v>927</v>
      </c>
      <c r="D5" s="34">
        <f>VLOOKUP(A5,UPDATED_SPECART1!C:L,4,FALSE)</f>
        <v>5948.6685004855481</v>
      </c>
      <c r="E5" s="4">
        <v>34.72</v>
      </c>
      <c r="F5" s="4">
        <v>38.47</v>
      </c>
      <c r="G5" s="4">
        <v>26.81</v>
      </c>
      <c r="H5" s="4">
        <v>0</v>
      </c>
      <c r="I5" s="4">
        <v>2</v>
      </c>
      <c r="J5" s="4">
        <v>2</v>
      </c>
    </row>
    <row r="6" spans="1:10" x14ac:dyDescent="0.3">
      <c r="A6" s="4" t="s">
        <v>14</v>
      </c>
      <c r="B6" s="4">
        <v>5</v>
      </c>
      <c r="C6" s="4">
        <v>801</v>
      </c>
      <c r="D6" s="34">
        <f>VLOOKUP(A6,UPDATED_SPECART1!C:L,4,FALSE)</f>
        <v>100695.89041095891</v>
      </c>
      <c r="E6" s="4">
        <v>80.569999999999993</v>
      </c>
      <c r="F6" s="4">
        <v>10.92</v>
      </c>
      <c r="G6" s="4">
        <v>8.51</v>
      </c>
      <c r="H6" s="4">
        <v>0</v>
      </c>
      <c r="I6" s="4">
        <v>3</v>
      </c>
      <c r="J6" s="4">
        <v>3</v>
      </c>
    </row>
    <row r="7" spans="1:10" x14ac:dyDescent="0.3">
      <c r="A7" s="4" t="s">
        <v>32</v>
      </c>
      <c r="B7" s="4">
        <v>7</v>
      </c>
      <c r="C7" s="4">
        <v>932</v>
      </c>
      <c r="D7" s="34">
        <f>VLOOKUP(A7,UPDATED_SPECART1!C:L,4,FALSE)</f>
        <v>34942.465753424658</v>
      </c>
      <c r="E7" s="4">
        <v>70.63</v>
      </c>
      <c r="F7" s="4">
        <v>16.98</v>
      </c>
      <c r="G7" s="4">
        <v>12.39</v>
      </c>
      <c r="H7" s="4">
        <v>0</v>
      </c>
      <c r="I7" s="4">
        <v>4</v>
      </c>
      <c r="J7" s="4">
        <v>4</v>
      </c>
    </row>
    <row r="8" spans="1:10" s="33" customFormat="1" x14ac:dyDescent="0.3">
      <c r="A8" s="34" t="s">
        <v>35</v>
      </c>
      <c r="B8" s="34">
        <v>7.6666666666666696</v>
      </c>
      <c r="C8" s="34">
        <v>934</v>
      </c>
      <c r="D8" s="34">
        <f>VLOOKUP(A8,UPDATED_SPECART1!C:L,4,FALSE)</f>
        <v>2600</v>
      </c>
      <c r="E8" s="34">
        <v>70.63</v>
      </c>
      <c r="F8" s="34">
        <v>16.98</v>
      </c>
      <c r="G8" s="34">
        <v>12.39</v>
      </c>
      <c r="H8" s="34">
        <v>0</v>
      </c>
      <c r="I8" s="34">
        <v>4</v>
      </c>
      <c r="J8" s="34">
        <v>4</v>
      </c>
    </row>
    <row r="9" spans="1:10" x14ac:dyDescent="0.3">
      <c r="A9" s="4" t="s">
        <v>16</v>
      </c>
      <c r="B9" s="34">
        <v>8.8095238095238102</v>
      </c>
      <c r="C9" s="4">
        <v>908</v>
      </c>
      <c r="D9" s="34">
        <f>VLOOKUP(A9,UPDATED_SPECART1!C:L,4,FALSE)</f>
        <v>13494.117647058823</v>
      </c>
      <c r="E9" s="4">
        <v>88.05</v>
      </c>
      <c r="F9" s="4">
        <v>4.9800000000000004</v>
      </c>
      <c r="G9" s="4">
        <v>6.97</v>
      </c>
      <c r="H9" s="4">
        <v>0</v>
      </c>
      <c r="I9" s="4">
        <v>5</v>
      </c>
      <c r="J9" s="4">
        <v>5</v>
      </c>
    </row>
    <row r="10" spans="1:10" x14ac:dyDescent="0.3">
      <c r="A10" s="4" t="s">
        <v>55</v>
      </c>
      <c r="B10" s="34">
        <v>9.9523809523809508</v>
      </c>
      <c r="C10" s="4">
        <v>902</v>
      </c>
      <c r="D10" s="34">
        <f>VLOOKUP(A10,UPDATED_SPECART1!C:L,4,FALSE)</f>
        <v>17662</v>
      </c>
      <c r="E10" s="4">
        <v>71.64</v>
      </c>
      <c r="F10" s="4">
        <v>22.64</v>
      </c>
      <c r="G10" s="4">
        <v>5.72</v>
      </c>
      <c r="H10" s="4">
        <v>0</v>
      </c>
      <c r="I10" s="4">
        <v>6</v>
      </c>
      <c r="J10" s="4">
        <v>5</v>
      </c>
    </row>
    <row r="11" spans="1:10" x14ac:dyDescent="0.3">
      <c r="A11" s="4" t="s">
        <v>61</v>
      </c>
      <c r="B11" s="34">
        <v>11.0952380952381</v>
      </c>
      <c r="C11" s="4">
        <v>904</v>
      </c>
      <c r="D11" s="34">
        <f>VLOOKUP(A11,UPDATED_SPECART1!C:L,4,FALSE)</f>
        <v>59331.506849315068</v>
      </c>
      <c r="E11" s="4">
        <v>94.44</v>
      </c>
      <c r="F11" s="4">
        <v>4.4400000000000004</v>
      </c>
      <c r="G11" s="4">
        <v>1.1200000000000001</v>
      </c>
      <c r="H11" s="4">
        <v>0</v>
      </c>
      <c r="I11" s="4">
        <v>7</v>
      </c>
      <c r="J11" s="4">
        <v>5</v>
      </c>
    </row>
    <row r="12" spans="1:10" x14ac:dyDescent="0.3">
      <c r="A12" s="4" t="s">
        <v>19</v>
      </c>
      <c r="B12" s="34">
        <v>12.2380952380952</v>
      </c>
      <c r="C12" s="4">
        <v>900</v>
      </c>
      <c r="D12" s="34">
        <f>VLOOKUP(A12,UPDATED_SPECART1!C:L,4,FALSE)</f>
        <v>59846.575342465752</v>
      </c>
      <c r="E12" s="4">
        <v>91.61</v>
      </c>
      <c r="F12" s="4">
        <v>4.6399999999999997</v>
      </c>
      <c r="G12" s="4">
        <v>3.75</v>
      </c>
      <c r="H12" s="4">
        <v>0</v>
      </c>
      <c r="I12" s="4">
        <v>8</v>
      </c>
      <c r="J12" s="4">
        <v>5</v>
      </c>
    </row>
    <row r="13" spans="1:10" x14ac:dyDescent="0.3">
      <c r="A13" s="4" t="s">
        <v>20</v>
      </c>
      <c r="B13" s="34">
        <v>13.380952380952399</v>
      </c>
      <c r="C13" s="4">
        <v>903</v>
      </c>
      <c r="D13" s="34">
        <f>VLOOKUP(A13,UPDATED_SPECART1!C:L,4,FALSE)</f>
        <v>64646.575342465752</v>
      </c>
      <c r="E13" s="4">
        <v>91.44</v>
      </c>
      <c r="F13" s="4">
        <v>4.5199999999999996</v>
      </c>
      <c r="G13" s="4">
        <v>4.05</v>
      </c>
      <c r="H13" s="4">
        <v>0</v>
      </c>
      <c r="I13" s="4">
        <v>9</v>
      </c>
      <c r="J13" s="4">
        <v>5</v>
      </c>
    </row>
    <row r="14" spans="1:10" x14ac:dyDescent="0.3">
      <c r="A14" s="4" t="s">
        <v>21</v>
      </c>
      <c r="B14" s="34">
        <v>14.523809523809501</v>
      </c>
      <c r="C14" s="4">
        <v>899</v>
      </c>
      <c r="D14" s="34">
        <f>VLOOKUP(A14,UPDATED_SPECART1!C:L,4,FALSE)</f>
        <v>12394.117647058823</v>
      </c>
      <c r="E14" s="4">
        <v>85.77</v>
      </c>
      <c r="F14" s="4">
        <v>8.3000000000000007</v>
      </c>
      <c r="G14" s="4">
        <v>5.93</v>
      </c>
      <c r="H14" s="4">
        <v>0</v>
      </c>
      <c r="I14" s="4">
        <v>10</v>
      </c>
      <c r="J14" s="4">
        <v>5</v>
      </c>
    </row>
    <row r="15" spans="1:10" x14ac:dyDescent="0.3">
      <c r="A15" s="4" t="s">
        <v>22</v>
      </c>
      <c r="B15" s="34">
        <v>15.6666666666667</v>
      </c>
      <c r="C15" s="4">
        <v>898</v>
      </c>
      <c r="D15" s="34">
        <f>VLOOKUP(A15,UPDATED_SPECART1!C:L,4,FALSE)</f>
        <v>112284.93150684932</v>
      </c>
      <c r="E15" s="4">
        <v>93.5</v>
      </c>
      <c r="F15" s="4">
        <v>4.0199999999999996</v>
      </c>
      <c r="G15" s="4">
        <v>2.48</v>
      </c>
      <c r="H15" s="4">
        <v>0</v>
      </c>
      <c r="I15" s="4">
        <v>11</v>
      </c>
      <c r="J15" s="4">
        <v>5</v>
      </c>
    </row>
    <row r="16" spans="1:10" x14ac:dyDescent="0.3">
      <c r="A16" s="4" t="s">
        <v>23</v>
      </c>
      <c r="B16" s="34">
        <v>16.8095238095238</v>
      </c>
      <c r="C16" s="4">
        <v>2994</v>
      </c>
      <c r="D16" s="34">
        <f>VLOOKUP(A16,UPDATED_SPECART1!C:L,4,FALSE)</f>
        <v>5090</v>
      </c>
      <c r="E16" s="4">
        <v>77.64</v>
      </c>
      <c r="F16" s="4">
        <v>11.53</v>
      </c>
      <c r="G16" s="4">
        <v>10.83</v>
      </c>
      <c r="H16" s="4">
        <v>0</v>
      </c>
      <c r="I16" s="4">
        <v>12</v>
      </c>
      <c r="J16" s="4">
        <v>6</v>
      </c>
    </row>
    <row r="17" spans="1:10" x14ac:dyDescent="0.3">
      <c r="A17" s="4" t="s">
        <v>24</v>
      </c>
      <c r="B17" s="34">
        <v>17.952380952380899</v>
      </c>
      <c r="C17" s="4">
        <v>3182</v>
      </c>
      <c r="D17" s="34">
        <f>VLOOKUP(A17,UPDATED_SPECART1!C:L,4,FALSE)</f>
        <v>15336</v>
      </c>
      <c r="E17" s="4">
        <v>36.869999999999997</v>
      </c>
      <c r="F17" s="4">
        <v>37.32</v>
      </c>
      <c r="G17" s="4">
        <v>25.81</v>
      </c>
      <c r="H17" s="4">
        <v>0</v>
      </c>
      <c r="I17" s="4">
        <v>13</v>
      </c>
      <c r="J17" s="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UPDATED_SPECART1Backup</vt:lpstr>
      <vt:lpstr>UPDATED_SPECART1</vt:lpstr>
      <vt:lpstr>2010_TEA</vt:lpstr>
      <vt:lpstr>2015_TEA</vt:lpstr>
      <vt:lpstr>MK_Growth</vt:lpstr>
      <vt:lpstr>OCCC_Attendance</vt:lpstr>
      <vt:lpstr>Scratch</vt:lpstr>
      <vt:lpstr>2010</vt:lpstr>
      <vt:lpstr>2015</vt:lpstr>
      <vt:lpstr>2020</vt:lpstr>
      <vt:lpstr>2025</vt:lpstr>
      <vt:lpstr>2030</vt:lpstr>
      <vt:lpstr>2035</vt:lpstr>
      <vt:lpstr>2040</vt:lpstr>
      <vt:lpstr>2045</vt:lpstr>
      <vt:lpstr>UPDATED_SPECART1!Print_Area</vt:lpstr>
    </vt:vector>
  </TitlesOfParts>
  <Company>AECOM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</dc:creator>
  <cp:lastModifiedBy>Tim P</cp:lastModifiedBy>
  <cp:lastPrinted>2016-10-21T13:16:15Z</cp:lastPrinted>
  <dcterms:created xsi:type="dcterms:W3CDTF">2016-08-22T18:24:44Z</dcterms:created>
  <dcterms:modified xsi:type="dcterms:W3CDTF">2016-11-04T15:57:29Z</dcterms:modified>
</cp:coreProperties>
</file>