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95" windowWidth="17235" windowHeight="6360" activeTab="5"/>
  </bookViews>
  <sheets>
    <sheet name="Initialize" sheetId="1" r:id="rId1"/>
    <sheet name="Play Waveform" sheetId="3" r:id="rId2"/>
    <sheet name="Audio-to-Haptics" sheetId="6" r:id="rId3"/>
    <sheet name="Lists" sheetId="2" state="hidden" r:id="rId4"/>
    <sheet name="ERM Voltage Equations" sheetId="8" state="hidden" r:id="rId5"/>
    <sheet name="LRA Voltage Equations" sheetId="9" r:id="rId6"/>
    <sheet name="Design Equations Lists" sheetId="7" state="hidden" r:id="rId7"/>
  </sheets>
  <definedNames>
    <definedName name="accouple_list">Lists!$C$10:$C$11</definedName>
    <definedName name="ath_filter_list">Lists!$C$32:$C$35</definedName>
    <definedName name="ath_rectime_list">Lists!$A$32:$A$35</definedName>
    <definedName name="autocal_time_list">Lists!$G$23:$G$26</definedName>
    <definedName name="autoresgain_list">Lists!$E$13:$E$16</definedName>
    <definedName name="bemfgain_list">Lists!$G$1:$G$4</definedName>
    <definedName name="bidirinput_list">Lists!$A$13:$A$14</definedName>
    <definedName name="binary_defaultoff_list">Lists!$C$13:$C$14</definedName>
    <definedName name="binary_defaulton_list">Lists!$A$10:$A$11</definedName>
    <definedName name="blankingtime">'ERM Voltage Equations'!$F$15</definedName>
    <definedName name="blankingtime_list">Lists!$G$13:$G$16</definedName>
    <definedName name="dataformat_list">Lists!$G$18:$G$19</definedName>
    <definedName name="drivetime">'ERM Voltage Equations'!$F$13</definedName>
    <definedName name="ds_autoresgain_list">'Design Equations Lists'!$A$1:$A$4</definedName>
    <definedName name="ds_blankingtime_list">'Design Equations Lists'!$C$1:$C$4</definedName>
    <definedName name="erm_openloop_list">Lists!$C$18:$C$19</definedName>
    <definedName name="erm_ratedvoltage">'ERM Voltage Equations'!$E$8</definedName>
    <definedName name="f_actuator">'LRA Voltage Equations'!$D$8</definedName>
    <definedName name="fbbrakefactor_list">Lists!$C$1:$C$8</definedName>
    <definedName name="idisstime">'ERM Voltage Equations'!$K$13</definedName>
    <definedName name="librarysel_list">Lists!$E$23:$E$29</definedName>
    <definedName name="loopresponse_list">Lists!$E$1:$E$4</definedName>
    <definedName name="lra_openloop_list">Lists!$M$18:$M$19</definedName>
    <definedName name="lra_overdrivevoltage">'LRA Voltage Equations'!$L$47</definedName>
    <definedName name="lra_ratedvoltage">'LRA Voltage Equations'!$L$33</definedName>
    <definedName name="lradrivemode_list">Lists!$I$18:$I$19</definedName>
    <definedName name="mode_list">Lists!$C$23:$C$30</definedName>
    <definedName name="nERM_LRA_list">Lists!$A$1:$A$2</definedName>
    <definedName name="ng_threshold_list">Lists!$A$18:$A$21</definedName>
    <definedName name="npwm_analog_list">Lists!$K$18:$K$19</definedName>
    <definedName name="overdrive" localSheetId="4">'ERM Voltage Equations'!$I$8</definedName>
    <definedName name="overdrivevoltage" localSheetId="4">'ERM Voltage Equations'!$L$52</definedName>
    <definedName name="ratedvoltage" localSheetId="4">'ERM Voltage Equations'!$L$35</definedName>
    <definedName name="sampletime">'LRA Voltage Equations'!$F$13</definedName>
    <definedName name="standby_list">Lists!$A$23:$A$24</definedName>
    <definedName name="supplycomp_list">Lists!$E$18:$E$19</definedName>
    <definedName name="vrms">'LRA Voltage Equations'!$H$8</definedName>
  </definedNames>
  <calcPr calcId="145621"/>
</workbook>
</file>

<file path=xl/calcChain.xml><?xml version="1.0" encoding="utf-8"?>
<calcChain xmlns="http://schemas.openxmlformats.org/spreadsheetml/2006/main">
  <c r="L35" i="8" l="1"/>
  <c r="C43" i="9" l="1"/>
  <c r="E32" i="8"/>
  <c r="L47" i="9" l="1"/>
  <c r="L27" i="9"/>
  <c r="L33" i="9" s="1"/>
  <c r="D61" i="8"/>
  <c r="L64" i="8" s="1"/>
  <c r="D44" i="8"/>
  <c r="L19" i="9" l="1"/>
  <c r="L20" i="9"/>
  <c r="L18" i="9"/>
  <c r="F19" i="9"/>
  <c r="L34" i="9"/>
  <c r="F18" i="9"/>
  <c r="F20" i="9"/>
  <c r="L35" i="9"/>
  <c r="L48" i="9"/>
  <c r="L49" i="9"/>
  <c r="L47" i="8"/>
  <c r="L52" i="8" s="1"/>
  <c r="L37" i="8"/>
  <c r="F22" i="8"/>
  <c r="F20" i="8"/>
  <c r="L36" i="8"/>
  <c r="F21" i="8"/>
  <c r="L66" i="8"/>
  <c r="L27" i="8" s="1"/>
  <c r="L65" i="8"/>
  <c r="L26" i="8" s="1"/>
  <c r="L25" i="8"/>
  <c r="L53" i="8" l="1"/>
  <c r="L21" i="8" s="1"/>
  <c r="L20" i="8"/>
  <c r="L54" i="8"/>
  <c r="L22" i="8" s="1"/>
  <c r="C17" i="1" l="1"/>
  <c r="C51" i="6" l="1"/>
  <c r="C22" i="1"/>
  <c r="C48" i="6"/>
  <c r="C58" i="6" l="1"/>
  <c r="F44" i="6"/>
  <c r="A40" i="2" s="1"/>
  <c r="F45" i="6"/>
  <c r="A41" i="2" s="1"/>
  <c r="F47" i="6"/>
  <c r="B41" i="2" s="1"/>
  <c r="F46" i="6"/>
  <c r="B39" i="2" s="1"/>
  <c r="C42" i="6"/>
  <c r="C39" i="6"/>
  <c r="A38" i="2" l="1"/>
  <c r="B38" i="2"/>
  <c r="B40" i="2"/>
  <c r="A39" i="2"/>
  <c r="C45" i="6"/>
  <c r="C44" i="6"/>
  <c r="C46" i="6"/>
  <c r="C47" i="6"/>
  <c r="C17" i="3" l="1"/>
  <c r="C6" i="3"/>
  <c r="C31" i="1" l="1"/>
  <c r="C14" i="1"/>
  <c r="C8" i="1"/>
  <c r="C29" i="1"/>
</calcChain>
</file>

<file path=xl/sharedStrings.xml><?xml version="1.0" encoding="utf-8"?>
<sst xmlns="http://schemas.openxmlformats.org/spreadsheetml/2006/main" count="504" uniqueCount="289">
  <si>
    <t>Description</t>
  </si>
  <si>
    <t>Bits</t>
  </si>
  <si>
    <t>Register</t>
  </si>
  <si>
    <t>Feedback Control</t>
  </si>
  <si>
    <t>0x1A</t>
  </si>
  <si>
    <t>Name</t>
  </si>
  <si>
    <t>Parameter Selection</t>
  </si>
  <si>
    <t>nERM_LRA</t>
  </si>
  <si>
    <t>Set ERM or LRA Mode</t>
  </si>
  <si>
    <t>[7]</t>
  </si>
  <si>
    <t>1 - LRA</t>
  </si>
  <si>
    <t>FBBrakeFactor</t>
  </si>
  <si>
    <t>[6:4]</t>
  </si>
  <si>
    <t>Loop Response</t>
  </si>
  <si>
    <t>[3:2]</t>
  </si>
  <si>
    <t>BEMFGain</t>
  </si>
  <si>
    <t>[1:0]</t>
  </si>
  <si>
    <t>Ratio of brake gain to drive gain</t>
  </si>
  <si>
    <t>0 - 1x</t>
  </si>
  <si>
    <t>1 - 2x</t>
  </si>
  <si>
    <t>2 - 3x</t>
  </si>
  <si>
    <t>3 - 4x (default)</t>
  </si>
  <si>
    <t>4 - 6x</t>
  </si>
  <si>
    <t>5 - 8x</t>
  </si>
  <si>
    <t>6 - 16x</t>
  </si>
  <si>
    <t>7 - Braking disabled</t>
  </si>
  <si>
    <t>0 - ERM (default)</t>
  </si>
  <si>
    <t>Loop gain for feedback control</t>
  </si>
  <si>
    <t>0 - Slow</t>
  </si>
  <si>
    <t>3 - Very Fast</t>
  </si>
  <si>
    <t>1 - 1.0x / 10x</t>
  </si>
  <si>
    <t>3 - 4.0x / 30x</t>
  </si>
  <si>
    <t>2 - 1.8x / 20x (default)</t>
  </si>
  <si>
    <t>0 - .33x / 5x</t>
  </si>
  <si>
    <t>Addr</t>
  </si>
  <si>
    <t>Control 1</t>
  </si>
  <si>
    <t>0x1B</t>
  </si>
  <si>
    <t>StartupBoost</t>
  </si>
  <si>
    <t>AC_Couple</t>
  </si>
  <si>
    <t>DriveTime</t>
  </si>
  <si>
    <t>[5]</t>
  </si>
  <si>
    <t>[4:0]</t>
  </si>
  <si>
    <t>0 - OFF</t>
  </si>
  <si>
    <t>1 - ON (default)</t>
  </si>
  <si>
    <t xml:space="preserve">1 - AC Coupling </t>
  </si>
  <si>
    <t>Overdrive boost</t>
  </si>
  <si>
    <t>PWM/TRIG Pin Coupling Setting</t>
  </si>
  <si>
    <t>Setting</t>
  </si>
  <si>
    <t xml:space="preserve">Initial LRA drive time (Default = 19)
Drive Time[4:0] = (Drive Time (ms) - 0.5ms) / 0.1 </t>
  </si>
  <si>
    <t>Control 2</t>
  </si>
  <si>
    <t>BiDir_Input</t>
  </si>
  <si>
    <t>Brake_Stabilizer</t>
  </si>
  <si>
    <t>Blanking Time</t>
  </si>
  <si>
    <t>IDissTime</t>
  </si>
  <si>
    <t>[6]</t>
  </si>
  <si>
    <t>[5:4]</t>
  </si>
  <si>
    <t>0 - Uni-directional</t>
  </si>
  <si>
    <t>0 - OFF (default)</t>
  </si>
  <si>
    <t xml:space="preserve">1 - ON </t>
  </si>
  <si>
    <t>1 - Bi-directional (default)</t>
  </si>
  <si>
    <t>0x1C</t>
  </si>
  <si>
    <t>Control 3</t>
  </si>
  <si>
    <t>0x1D</t>
  </si>
  <si>
    <t>NG_Thresh</t>
  </si>
  <si>
    <t>ERM_OpenLoop</t>
  </si>
  <si>
    <t>SupplyCompDis</t>
  </si>
  <si>
    <t>DataFormat_RTP</t>
  </si>
  <si>
    <t>LRA DriveMode</t>
  </si>
  <si>
    <t>nPWM_Analog</t>
  </si>
  <si>
    <t>LRA_OpenLoop</t>
  </si>
  <si>
    <t>0 - Disabled</t>
  </si>
  <si>
    <t>1 - 2%</t>
  </si>
  <si>
    <t>3 - 8%</t>
  </si>
  <si>
    <t>1 - Open Loop</t>
  </si>
  <si>
    <t>0 - ON (default)</t>
  </si>
  <si>
    <t xml:space="preserve">1 - OFF </t>
  </si>
  <si>
    <t>0 - Signed (default)</t>
  </si>
  <si>
    <t>1 - Unsigned</t>
  </si>
  <si>
    <t>0 - PWM Input (default)</t>
  </si>
  <si>
    <t>1 - Analog Input</t>
  </si>
  <si>
    <t>1 - Divide-by-128x Mode</t>
  </si>
  <si>
    <t>0 - Auto Resonance On (default)</t>
  </si>
  <si>
    <t>[7:6]</t>
  </si>
  <si>
    <t>[4]</t>
  </si>
  <si>
    <t>[3]</t>
  </si>
  <si>
    <t>[2]</t>
  </si>
  <si>
    <t>[1]</t>
  </si>
  <si>
    <t>[0]</t>
  </si>
  <si>
    <t>Rated Voltage</t>
  </si>
  <si>
    <t>0 - Closed Loop (default)</t>
  </si>
  <si>
    <t>2 - 4% (default)</t>
  </si>
  <si>
    <t>Mode</t>
  </si>
  <si>
    <t>0x01</t>
  </si>
  <si>
    <t>Dev_Reset</t>
  </si>
  <si>
    <t>STANDBY</t>
  </si>
  <si>
    <t>[2:0]</t>
  </si>
  <si>
    <t>0 - Device Ready</t>
  </si>
  <si>
    <t>1 - Device in Software Standby (default)</t>
  </si>
  <si>
    <t>0 - Internal Trigger (default)</t>
  </si>
  <si>
    <t>1 - External Trigger (Edge Mode)</t>
  </si>
  <si>
    <t>2 - External Trigger (Level Mode)</t>
  </si>
  <si>
    <t>3 - PWM Input/Analog Input</t>
  </si>
  <si>
    <t>4 - Audio to Haptics</t>
  </si>
  <si>
    <t>5 - Real-Time Playback (RTP Mode)</t>
  </si>
  <si>
    <t>6 - Diagnostics</t>
  </si>
  <si>
    <t>7 - Auto Calibration</t>
  </si>
  <si>
    <t>0x16</t>
  </si>
  <si>
    <t>Overdrive Clamp Voltage</t>
  </si>
  <si>
    <t>0x17</t>
  </si>
  <si>
    <t>ODClamp</t>
  </si>
  <si>
    <t>[7:0]</t>
  </si>
  <si>
    <t>RatedVoltage</t>
  </si>
  <si>
    <t>Value (Hex)</t>
  </si>
  <si>
    <t>Library Selection</t>
  </si>
  <si>
    <t>0x03</t>
  </si>
  <si>
    <t>HiZ</t>
  </si>
  <si>
    <t>LibrarySel</t>
  </si>
  <si>
    <t>0 - Empty (default)</t>
  </si>
  <si>
    <t>1 - TS2200C Library A - With Overdrive</t>
  </si>
  <si>
    <t>2 - TS2200C Library B - Fast</t>
  </si>
  <si>
    <t>3 - TS2200C Library C</t>
  </si>
  <si>
    <t>4 - TS2200C Library D</t>
  </si>
  <si>
    <t>5 - TS2000C Library E</t>
  </si>
  <si>
    <t>6 - LRA Library</t>
  </si>
  <si>
    <t xml:space="preserve">Select input scaling for input </t>
  </si>
  <si>
    <t>Reduce loop gain when braking is near completion</t>
  </si>
  <si>
    <t>LRA Auto-Resonance Detection</t>
  </si>
  <si>
    <t>Blanking time before back-EMF conversion</t>
  </si>
  <si>
    <t>Current Dissipation Time</t>
  </si>
  <si>
    <t>Noise gate threshold for PWM and analog inputs</t>
  </si>
  <si>
    <t>Select ERM open-loop or closed-loop</t>
  </si>
  <si>
    <t>Disable supply compensation</t>
  </si>
  <si>
    <t>Select binary input coding for RTP</t>
  </si>
  <si>
    <t>Select drive mode for LRA algorithm</t>
  </si>
  <si>
    <t>Select input mode for IN/TRIG pin (Mode 3)</t>
  </si>
  <si>
    <t>Enable/Disable Auto-resonance</t>
  </si>
  <si>
    <t>Set output pins to Hi-Z</t>
  </si>
  <si>
    <t>Select waveform library</t>
  </si>
  <si>
    <t>Reset device registers</t>
  </si>
  <si>
    <t>Enter/Exit Hardware Standby Mode</t>
  </si>
  <si>
    <t>Select input mode</t>
  </si>
  <si>
    <t>DRV2605 Initialization Sequence</t>
  </si>
  <si>
    <t>1 - 250 ms</t>
  </si>
  <si>
    <t>2 - 500 ms (default)</t>
  </si>
  <si>
    <t>3 - 1000 ms</t>
  </si>
  <si>
    <t>0 - 150 ms</t>
  </si>
  <si>
    <t>GO</t>
  </si>
  <si>
    <t>0x0C</t>
  </si>
  <si>
    <t>Set GO bit to begin Auto-Calibration</t>
  </si>
  <si>
    <t>Auto-calibration 
Compensation Results</t>
  </si>
  <si>
    <t>0x18</t>
  </si>
  <si>
    <t>ACalComp</t>
  </si>
  <si>
    <t>Auto-calibration
Back-EMF Result</t>
  </si>
  <si>
    <t>0x19</t>
  </si>
  <si>
    <t>ACalBEMF</t>
  </si>
  <si>
    <t>Status</t>
  </si>
  <si>
    <t>0x00</t>
  </si>
  <si>
    <t>DeviceID</t>
  </si>
  <si>
    <t>Diag_Result</t>
  </si>
  <si>
    <t>Watchdog_status</t>
  </si>
  <si>
    <t>OverTemp</t>
  </si>
  <si>
    <t>OC_Detect</t>
  </si>
  <si>
    <t>[7:5]</t>
  </si>
  <si>
    <t>Read - 0 / 1</t>
  </si>
  <si>
    <t>Read - 0</t>
  </si>
  <si>
    <t>Device identifier</t>
  </si>
  <si>
    <t>Feedback controller status</t>
  </si>
  <si>
    <t>Over-temperature Flag</t>
  </si>
  <si>
    <t>Over-current Flag</t>
  </si>
  <si>
    <t>Analog gain of BEMF amplifier, obtained from auto-calibration</t>
  </si>
  <si>
    <t>Write value obtained from auto-calibration</t>
  </si>
  <si>
    <t>Voltage compensation</t>
  </si>
  <si>
    <t>Contains the rated back-EMF compensation</t>
  </si>
  <si>
    <t>DRV2605 Play Waveform Sequence</t>
  </si>
  <si>
    <t>Waveform Sequencer</t>
  </si>
  <si>
    <t>0x04</t>
  </si>
  <si>
    <t>0x05</t>
  </si>
  <si>
    <t>0x06</t>
  </si>
  <si>
    <t>0x07</t>
  </si>
  <si>
    <t>0x08</t>
  </si>
  <si>
    <t>0x09</t>
  </si>
  <si>
    <t>0x0A</t>
  </si>
  <si>
    <t>0x0B</t>
  </si>
  <si>
    <t>--</t>
  </si>
  <si>
    <t>Set to zero when not in auto-calibration</t>
  </si>
  <si>
    <t>WavfrmSeq holds the waveform indentifier of the waveform to be played.  A waveform identifier is an integer value referring to the index position of a waveform in a ROM library. 
When bit [7] is set, bits WavfrmSeq[6:0] become a wait time with 10ms units.
Delay (ms) = WavfrmSeq[6:0] * 10ms</t>
  </si>
  <si>
    <t>Wait + WavfrmSeq1</t>
  </si>
  <si>
    <t>Wait + WavfrmSeq2</t>
  </si>
  <si>
    <t>Wait + WavfrmSeq3</t>
  </si>
  <si>
    <t>Wait + WavfrmSeq4</t>
  </si>
  <si>
    <t>Wait + WavfrmSeq5</t>
  </si>
  <si>
    <t>Wait + WavfrmSeq6</t>
  </si>
  <si>
    <t>Wait + WavfrmSeq7</t>
  </si>
  <si>
    <t>Wait + WavfrmSeq8</t>
  </si>
  <si>
    <t>Write waveform identifier or wait time</t>
  </si>
  <si>
    <t>0 - 10 ms</t>
  </si>
  <si>
    <t>2 - 30 ms</t>
  </si>
  <si>
    <t>4 - 40 ms</t>
  </si>
  <si>
    <t>0 - 100 Hz</t>
  </si>
  <si>
    <t>2 - 150 Hz</t>
  </si>
  <si>
    <t>3 - 200 Hz</t>
  </si>
  <si>
    <t>0x11</t>
  </si>
  <si>
    <t>Audio to Haptic Control</t>
  </si>
  <si>
    <t>ATH_Filter</t>
  </si>
  <si>
    <t>1 - 20 ms (default)</t>
  </si>
  <si>
    <t>1 - 125 Hz (default)</t>
  </si>
  <si>
    <t>Set ATH rectification time for the audio to haptics</t>
  </si>
  <si>
    <t>DRV2605 Audio-to-Haptics (ATH) Configuration</t>
  </si>
  <si>
    <t>Set theATH low-pass filter frequency</t>
  </si>
  <si>
    <t>ATH Minimum Input Level</t>
  </si>
  <si>
    <t>0x12</t>
  </si>
  <si>
    <t>ATH Maximum Input Level</t>
  </si>
  <si>
    <t>0x13</t>
  </si>
  <si>
    <t>ATH Minimum Output Drive</t>
  </si>
  <si>
    <t>ATH Maximum Output Drive</t>
  </si>
  <si>
    <t>0x14</t>
  </si>
  <si>
    <t>0x15</t>
  </si>
  <si>
    <t>ATH_MinInput</t>
  </si>
  <si>
    <t>ATH_MaxInput</t>
  </si>
  <si>
    <t>ATH_MinDrive</t>
  </si>
  <si>
    <t>ATH_MaxDrive</t>
  </si>
  <si>
    <t>Minimum voltage detected on IN/TRIG for ATH</t>
  </si>
  <si>
    <t>Maximum voltage detected on IN/TRIG for ATH</t>
  </si>
  <si>
    <t>Set the maximum output level (%) of drive engine</t>
  </si>
  <si>
    <t>Set the minimum output level (%) of drive engine</t>
  </si>
  <si>
    <t>Audio-to-Haptics Boundary Values</t>
  </si>
  <si>
    <t>Begin by enter the the voltage settings in the diagram below.</t>
  </si>
  <si>
    <t>Maximum  Input Voltage - ATH_MaxInput (0x13)</t>
  </si>
  <si>
    <t>Minimum Input Voltage - ATH_MinInput (0x12)</t>
  </si>
  <si>
    <t>Maximum Output Drive (%) - ATH_MaxDrive (Reg. 0x15)</t>
  </si>
  <si>
    <t>Minimum Output Drive (%) - ATH_MinDrive (Reg. 0x14)</t>
  </si>
  <si>
    <t>Audio-to-Haptics Setup Sequence</t>
  </si>
  <si>
    <t>Exit Standby Mode (EN pin must be high)</t>
  </si>
  <si>
    <t>Enable Audio-to-Haptics</t>
  </si>
  <si>
    <r>
      <t>Audio-to-haptics converts an analog audio signal to a haptics output waveform for either ERM or LRA actuators.  To setup the DRV2605 for audio-to-haptics, the maximum input voltage of the audio source should be 1.8V</t>
    </r>
    <r>
      <rPr>
        <vertAlign val="subscript"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 xml:space="preserve"> (Full Scale).  If it is over 1.8V</t>
    </r>
    <r>
      <rPr>
        <vertAlign val="subscript"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 xml:space="preserve"> we recommend you use a resistor divider to reduce the input voltage.  If the voltage is under 1.8V</t>
    </r>
    <r>
      <rPr>
        <vertAlign val="subscript"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 xml:space="preserve"> then you can adjust the full-scale input voltage setting of the DRV2605 using the Maximum Input Detection Register (ATH_MaxInput 0x13).</t>
    </r>
  </si>
  <si>
    <t>2 - Fast</t>
  </si>
  <si>
    <t>1 - Medium (default)</t>
  </si>
  <si>
    <t>0 - DC Coupling / Digital Input Modes (default)</t>
  </si>
  <si>
    <t>SampleTime</t>
  </si>
  <si>
    <r>
      <t xml:space="preserve">0 - 150 </t>
    </r>
    <r>
      <rPr>
        <sz val="11"/>
        <color theme="1"/>
        <rFont val="Calibri"/>
        <family val="2"/>
      </rPr>
      <t>µs</t>
    </r>
  </si>
  <si>
    <t>1 - 200 µs</t>
  </si>
  <si>
    <t>2 - 250 µs</t>
  </si>
  <si>
    <t>3 - 300 µs (default)</t>
  </si>
  <si>
    <t>0 - 15 µs, 45 µs</t>
  </si>
  <si>
    <t>1 - 25 µs, 75 µs (default)</t>
  </si>
  <si>
    <t>2 - 50 µs, 150 µs</t>
  </si>
  <si>
    <t>3 - 75 µs, 225 µs</t>
  </si>
  <si>
    <t>0 - Once per cycle (default)</t>
  </si>
  <si>
    <t>1 - Twice per cycle</t>
  </si>
  <si>
    <t>ATH_PeakTime</t>
  </si>
  <si>
    <t>DRV2604/5 Design Equations for ERM</t>
  </si>
  <si>
    <t xml:space="preserve">
12/6/2012</t>
  </si>
  <si>
    <t>Input</t>
  </si>
  <si>
    <t xml:space="preserve">Calculation    </t>
  </si>
  <si>
    <t>Actuator Parameters</t>
  </si>
  <si>
    <r>
      <t>V</t>
    </r>
    <r>
      <rPr>
        <vertAlign val="subscript"/>
        <sz val="11"/>
        <color theme="1"/>
        <rFont val="Calibri"/>
        <family val="2"/>
        <scheme val="minor"/>
      </rPr>
      <t>avg</t>
    </r>
  </si>
  <si>
    <r>
      <t>V</t>
    </r>
    <r>
      <rPr>
        <vertAlign val="subscript"/>
        <sz val="11"/>
        <color theme="1"/>
        <rFont val="Calibri"/>
        <family val="2"/>
        <scheme val="minor"/>
      </rPr>
      <t>peak</t>
    </r>
  </si>
  <si>
    <t>Register Settings</t>
  </si>
  <si>
    <t>ms</t>
  </si>
  <si>
    <t>µs</t>
  </si>
  <si>
    <t>Default = 4.8 ms</t>
  </si>
  <si>
    <r>
      <t xml:space="preserve">Default = 75 </t>
    </r>
    <r>
      <rPr>
        <sz val="6"/>
        <color theme="1"/>
        <rFont val="Calibri"/>
        <family val="2"/>
      </rPr>
      <t>µs</t>
    </r>
  </si>
  <si>
    <t>Rated &amp; Overdrive Voltage Summary</t>
  </si>
  <si>
    <t>(Dec)</t>
  </si>
  <si>
    <t xml:space="preserve">Closed Loop             </t>
  </si>
  <si>
    <t>(Hex)</t>
  </si>
  <si>
    <t>Closed Loop</t>
  </si>
  <si>
    <t>(Binary)</t>
  </si>
  <si>
    <t xml:space="preserve"> Open Loop</t>
  </si>
  <si>
    <t>Rated Voltage (Closed Loop)</t>
  </si>
  <si>
    <r>
      <t>V</t>
    </r>
    <r>
      <rPr>
        <vertAlign val="subscript"/>
        <sz val="11"/>
        <color theme="1"/>
        <rFont val="Calibri"/>
        <family val="2"/>
        <scheme val="minor"/>
      </rPr>
      <t>PEAK</t>
    </r>
  </si>
  <si>
    <t>Use the RatedVoltage(0x16) value for the DRV2605 RatedVoltage register</t>
  </si>
  <si>
    <t>Overdrive Voltage (Closed Loop)</t>
  </si>
  <si>
    <t>Use the ODClamp(0x17) value for the DRV2605 OverdriveClamp register</t>
  </si>
  <si>
    <t>Overdrive Voltage (Open Loop)</t>
  </si>
  <si>
    <t>DRV2604/5 Design Equations for LRA</t>
  </si>
  <si>
    <t>Hz</t>
  </si>
  <si>
    <r>
      <t>V</t>
    </r>
    <r>
      <rPr>
        <vertAlign val="subscript"/>
        <sz val="11"/>
        <color theme="1"/>
        <rFont val="Calibri"/>
        <family val="2"/>
        <scheme val="minor"/>
      </rPr>
      <t>rms</t>
    </r>
  </si>
  <si>
    <t>us</t>
  </si>
  <si>
    <r>
      <t xml:space="preserve">Default = 300 </t>
    </r>
    <r>
      <rPr>
        <sz val="6"/>
        <color theme="1"/>
        <rFont val="Calibri"/>
        <family val="2"/>
      </rPr>
      <t>µs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</si>
  <si>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</si>
  <si>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DC</t>
    </r>
  </si>
  <si>
    <t>Calculate using ERM/LRA Voltage Worksheet</t>
  </si>
  <si>
    <t>Selective Disclosure</t>
  </si>
  <si>
    <t>Write hex value in C7</t>
  </si>
  <si>
    <t>Write hex value in C6</t>
  </si>
  <si>
    <t>Read (0x60)</t>
  </si>
  <si>
    <t>Read - 011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</si>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</sst>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\V"/>
    <numFmt numFmtId="165" formatCode="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7" borderId="0" applyNumberFormat="0" applyBorder="0" applyAlignment="0" applyProtection="0"/>
    <xf numFmtId="0" fontId="8" fillId="8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 vertical="top"/>
    </xf>
    <xf numFmtId="0" fontId="0" fillId="0" borderId="7" xfId="0" applyBorder="1"/>
    <xf numFmtId="0" fontId="0" fillId="0" borderId="7" xfId="0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 applyAlignment="1">
      <alignment horizontal="left" vertical="top"/>
    </xf>
    <xf numFmtId="0" fontId="0" fillId="5" borderId="14" xfId="0" applyFont="1" applyFill="1" applyBorder="1" applyAlignment="1" applyProtection="1">
      <alignment horizontal="left"/>
      <protection locked="0"/>
    </xf>
    <xf numFmtId="0" fontId="0" fillId="5" borderId="7" xfId="0" applyFill="1" applyBorder="1" applyProtection="1">
      <protection locked="0"/>
    </xf>
    <xf numFmtId="0" fontId="0" fillId="5" borderId="7" xfId="0" applyFill="1" applyBorder="1" applyAlignment="1" applyProtection="1">
      <alignment horizontal="left"/>
      <protection locked="0"/>
    </xf>
    <xf numFmtId="0" fontId="0" fillId="5" borderId="11" xfId="0" applyFill="1" applyBorder="1" applyProtection="1">
      <protection locked="0"/>
    </xf>
    <xf numFmtId="0" fontId="3" fillId="6" borderId="1" xfId="0" applyFont="1" applyFill="1" applyBorder="1" applyAlignment="1" applyProtection="1">
      <alignment vertical="top"/>
    </xf>
    <xf numFmtId="0" fontId="1" fillId="6" borderId="2" xfId="0" applyFont="1" applyFill="1" applyBorder="1" applyAlignment="1" applyProtection="1">
      <alignment vertical="top"/>
    </xf>
    <xf numFmtId="0" fontId="1" fillId="6" borderId="3" xfId="0" applyFont="1" applyFill="1" applyBorder="1" applyAlignment="1" applyProtection="1">
      <alignment vertical="top"/>
    </xf>
    <xf numFmtId="0" fontId="1" fillId="6" borderId="4" xfId="0" applyFont="1" applyFill="1" applyBorder="1" applyAlignment="1" applyProtection="1">
      <alignment horizontal="left"/>
    </xf>
    <xf numFmtId="0" fontId="1" fillId="6" borderId="5" xfId="0" applyFont="1" applyFill="1" applyBorder="1" applyAlignment="1" applyProtection="1">
      <alignment horizontal="left"/>
    </xf>
    <xf numFmtId="0" fontId="1" fillId="6" borderId="6" xfId="0" applyFont="1" applyFill="1" applyBorder="1" applyAlignment="1" applyProtection="1">
      <alignment horizontal="center"/>
    </xf>
    <xf numFmtId="0" fontId="1" fillId="6" borderId="4" xfId="0" applyFont="1" applyFill="1" applyBorder="1" applyProtection="1"/>
    <xf numFmtId="0" fontId="1" fillId="6" borderId="5" xfId="0" applyFont="1" applyFill="1" applyBorder="1" applyAlignment="1" applyProtection="1">
      <alignment horizontal="left" vertical="top"/>
    </xf>
    <xf numFmtId="0" fontId="1" fillId="6" borderId="5" xfId="0" applyFont="1" applyFill="1" applyBorder="1" applyProtection="1"/>
    <xf numFmtId="0" fontId="1" fillId="6" borderId="6" xfId="0" applyFont="1" applyFill="1" applyBorder="1" applyAlignment="1" applyProtection="1">
      <alignment horizontal="left"/>
    </xf>
    <xf numFmtId="0" fontId="0" fillId="0" borderId="7" xfId="0" applyBorder="1" applyAlignment="1">
      <alignment horizontal="center" vertical="top"/>
    </xf>
    <xf numFmtId="0" fontId="0" fillId="0" borderId="7" xfId="0" applyFill="1" applyBorder="1"/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9" xfId="0" applyBorder="1"/>
    <xf numFmtId="0" fontId="0" fillId="0" borderId="19" xfId="0" applyFill="1" applyBorder="1"/>
    <xf numFmtId="0" fontId="0" fillId="0" borderId="8" xfId="0" applyFill="1" applyBorder="1"/>
    <xf numFmtId="0" fontId="0" fillId="0" borderId="19" xfId="0" applyFont="1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2" borderId="9" xfId="0" applyFill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9" xfId="0" applyFill="1" applyBorder="1" applyAlignment="1">
      <alignment wrapText="1"/>
    </xf>
    <xf numFmtId="0" fontId="0" fillId="0" borderId="21" xfId="0" applyBorder="1"/>
    <xf numFmtId="0" fontId="0" fillId="5" borderId="21" xfId="0" applyFill="1" applyBorder="1" applyProtection="1">
      <protection locked="0"/>
    </xf>
    <xf numFmtId="0" fontId="0" fillId="0" borderId="22" xfId="0" applyBorder="1"/>
    <xf numFmtId="0" fontId="1" fillId="0" borderId="8" xfId="0" applyFont="1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6" xfId="0" applyBorder="1"/>
    <xf numFmtId="0" fontId="0" fillId="0" borderId="27" xfId="0" applyFont="1" applyBorder="1" applyAlignment="1">
      <alignment horizontal="left"/>
    </xf>
    <xf numFmtId="0" fontId="0" fillId="2" borderId="9" xfId="0" quotePrefix="1" applyFill="1" applyBorder="1" applyAlignment="1" applyProtection="1">
      <alignment horizontal="center" vertical="top"/>
      <protection locked="0"/>
    </xf>
    <xf numFmtId="0" fontId="0" fillId="6" borderId="7" xfId="0" applyFill="1" applyBorder="1" applyProtection="1"/>
    <xf numFmtId="0" fontId="0" fillId="6" borderId="0" xfId="0" applyFill="1"/>
    <xf numFmtId="0" fontId="2" fillId="6" borderId="0" xfId="0" applyFont="1" applyFill="1" applyAlignment="1">
      <alignment horizontal="left" indent="7"/>
    </xf>
    <xf numFmtId="0" fontId="0" fillId="5" borderId="7" xfId="0" applyFill="1" applyBorder="1" applyAlignment="1" applyProtection="1">
      <alignment wrapText="1"/>
    </xf>
    <xf numFmtId="0" fontId="0" fillId="0" borderId="15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1" fillId="0" borderId="8" xfId="0" applyFont="1" applyBorder="1" applyAlignment="1">
      <alignment horizontal="left" vertical="top"/>
    </xf>
    <xf numFmtId="0" fontId="0" fillId="2" borderId="9" xfId="0" applyFill="1" applyBorder="1" applyAlignment="1">
      <alignment horizontal="center" vertical="top"/>
    </xf>
    <xf numFmtId="1" fontId="0" fillId="0" borderId="0" xfId="0" applyNumberFormat="1"/>
    <xf numFmtId="0" fontId="1" fillId="6" borderId="0" xfId="0" applyFont="1" applyFill="1"/>
    <xf numFmtId="9" fontId="0" fillId="5" borderId="0" xfId="0" applyNumberFormat="1" applyFill="1" applyAlignment="1" applyProtection="1">
      <alignment horizontal="left"/>
      <protection locked="0"/>
    </xf>
    <xf numFmtId="0" fontId="0" fillId="6" borderId="0" xfId="0" applyFill="1" applyAlignment="1"/>
    <xf numFmtId="9" fontId="0" fillId="6" borderId="7" xfId="0" applyNumberFormat="1" applyFill="1" applyBorder="1" applyAlignment="1" applyProtection="1">
      <alignment horizontal="left"/>
    </xf>
    <xf numFmtId="0" fontId="0" fillId="6" borderId="28" xfId="0" applyFill="1" applyBorder="1"/>
    <xf numFmtId="0" fontId="0" fillId="6" borderId="0" xfId="0" applyFill="1" applyBorder="1"/>
    <xf numFmtId="0" fontId="1" fillId="6" borderId="29" xfId="0" applyFont="1" applyFill="1" applyBorder="1" applyAlignment="1" applyProtection="1">
      <alignment horizontal="left"/>
    </xf>
    <xf numFmtId="0" fontId="1" fillId="6" borderId="0" xfId="0" applyFont="1" applyFill="1" applyBorder="1" applyAlignment="1" applyProtection="1">
      <alignment horizontal="left"/>
    </xf>
    <xf numFmtId="0" fontId="1" fillId="6" borderId="30" xfId="0" applyFont="1" applyFill="1" applyBorder="1" applyAlignment="1" applyProtection="1">
      <alignment horizontal="center"/>
    </xf>
    <xf numFmtId="0" fontId="0" fillId="0" borderId="7" xfId="0" applyBorder="1" applyAlignment="1">
      <alignment horizontal="left" vertical="top"/>
    </xf>
    <xf numFmtId="0" fontId="1" fillId="6" borderId="29" xfId="0" applyFont="1" applyFill="1" applyBorder="1" applyProtection="1"/>
    <xf numFmtId="0" fontId="1" fillId="6" borderId="0" xfId="0" applyFont="1" applyFill="1" applyBorder="1" applyAlignment="1" applyProtection="1">
      <alignment horizontal="left" vertical="top"/>
    </xf>
    <xf numFmtId="0" fontId="1" fillId="6" borderId="0" xfId="0" applyFont="1" applyFill="1" applyBorder="1" applyProtection="1"/>
    <xf numFmtId="0" fontId="1" fillId="6" borderId="30" xfId="0" applyFont="1" applyFill="1" applyBorder="1" applyAlignment="1" applyProtection="1">
      <alignment horizontal="left"/>
    </xf>
    <xf numFmtId="0" fontId="0" fillId="0" borderId="20" xfId="0" applyBorder="1"/>
    <xf numFmtId="164" fontId="0" fillId="6" borderId="7" xfId="0" applyNumberFormat="1" applyFill="1" applyBorder="1" applyAlignment="1" applyProtection="1">
      <alignment horizontal="left"/>
    </xf>
    <xf numFmtId="164" fontId="0" fillId="5" borderId="0" xfId="0" applyNumberFormat="1" applyFill="1" applyAlignment="1" applyProtection="1">
      <alignment horizontal="left" vertical="center"/>
      <protection locked="0"/>
    </xf>
    <xf numFmtId="164" fontId="0" fillId="5" borderId="0" xfId="0" applyNumberFormat="1" applyFill="1" applyAlignment="1" applyProtection="1">
      <alignment horizontal="left"/>
      <protection locked="0"/>
    </xf>
    <xf numFmtId="0" fontId="1" fillId="6" borderId="0" xfId="0" applyFont="1" applyFill="1" applyAlignment="1">
      <alignment horizontal="left" vertical="top"/>
    </xf>
    <xf numFmtId="165" fontId="0" fillId="2" borderId="9" xfId="0" quotePrefix="1" applyNumberFormat="1" applyFill="1" applyBorder="1" applyAlignment="1" applyProtection="1">
      <alignment horizontal="center" vertical="top"/>
      <protection locked="0"/>
    </xf>
    <xf numFmtId="164" fontId="0" fillId="0" borderId="0" xfId="0" applyNumberFormat="1" applyFill="1" applyAlignment="1" applyProtection="1">
      <alignment horizontal="left" vertical="center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1" fontId="0" fillId="0" borderId="0" xfId="0" applyNumberFormat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8" fillId="7" borderId="0" xfId="1" applyAlignment="1">
      <alignment horizontal="left" vertical="center"/>
    </xf>
    <xf numFmtId="0" fontId="1" fillId="6" borderId="0" xfId="0" applyFont="1" applyFill="1" applyAlignment="1">
      <alignment horizontal="right" vertical="center"/>
    </xf>
    <xf numFmtId="0" fontId="8" fillId="8" borderId="0" xfId="2" applyAlignment="1">
      <alignment horizontal="left" vertical="center"/>
    </xf>
    <xf numFmtId="0" fontId="0" fillId="6" borderId="0" xfId="0" applyFill="1" applyAlignment="1">
      <alignment horizontal="center"/>
    </xf>
    <xf numFmtId="0" fontId="8" fillId="7" borderId="0" xfId="1" applyNumberFormat="1" applyProtection="1">
      <protection locked="0"/>
    </xf>
    <xf numFmtId="0" fontId="0" fillId="6" borderId="0" xfId="0" applyFont="1" applyFill="1" applyBorder="1" applyAlignment="1"/>
    <xf numFmtId="0" fontId="8" fillId="7" borderId="0" xfId="1" applyProtection="1">
      <protection locked="0"/>
    </xf>
    <xf numFmtId="0" fontId="8" fillId="7" borderId="0" xfId="1" applyNumberFormat="1" applyBorder="1" applyAlignment="1" applyProtection="1">
      <protection locked="0"/>
    </xf>
    <xf numFmtId="0" fontId="0" fillId="9" borderId="0" xfId="0" applyFill="1" applyProtection="1">
      <protection locked="0"/>
    </xf>
    <xf numFmtId="0" fontId="7" fillId="6" borderId="0" xfId="0" applyFont="1" applyFill="1"/>
    <xf numFmtId="0" fontId="0" fillId="6" borderId="0" xfId="0" applyFont="1" applyFill="1"/>
    <xf numFmtId="0" fontId="10" fillId="6" borderId="0" xfId="0" applyFont="1" applyFill="1" applyAlignment="1">
      <alignment horizontal="center" vertical="top"/>
    </xf>
    <xf numFmtId="0" fontId="0" fillId="9" borderId="0" xfId="0" applyFont="1" applyFill="1" applyAlignment="1" applyProtection="1">
      <alignment horizontal="right" vertical="top"/>
      <protection locked="0"/>
    </xf>
    <xf numFmtId="0" fontId="10" fillId="6" borderId="0" xfId="0" applyFont="1" applyFill="1" applyAlignment="1">
      <alignment horizontal="right"/>
    </xf>
    <xf numFmtId="0" fontId="8" fillId="8" borderId="0" xfId="2"/>
    <xf numFmtId="0" fontId="10" fillId="6" borderId="0" xfId="0" applyFont="1" applyFill="1" applyAlignment="1">
      <alignment horizontal="right" vertical="top"/>
    </xf>
    <xf numFmtId="0" fontId="8" fillId="8" borderId="0" xfId="2" applyAlignment="1">
      <alignment horizontal="right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top"/>
    </xf>
    <xf numFmtId="0" fontId="0" fillId="5" borderId="0" xfId="0" applyFill="1"/>
    <xf numFmtId="0" fontId="12" fillId="6" borderId="0" xfId="0" applyFont="1" applyFill="1" applyAlignment="1">
      <alignment horizontal="right"/>
    </xf>
    <xf numFmtId="0" fontId="1" fillId="6" borderId="0" xfId="0" applyFont="1" applyFill="1" applyBorder="1" applyAlignment="1"/>
    <xf numFmtId="0" fontId="8" fillId="6" borderId="0" xfId="1" applyNumberFormat="1" applyFill="1" applyBorder="1" applyAlignment="1" applyProtection="1">
      <protection locked="0"/>
    </xf>
    <xf numFmtId="166" fontId="8" fillId="8" borderId="0" xfId="2" applyNumberFormat="1" applyFont="1"/>
    <xf numFmtId="0" fontId="13" fillId="5" borderId="0" xfId="0" applyFont="1" applyFill="1"/>
    <xf numFmtId="0" fontId="0" fillId="0" borderId="0" xfId="0" applyProtection="1">
      <protection locked="0"/>
    </xf>
    <xf numFmtId="0" fontId="10" fillId="6" borderId="0" xfId="0" applyFont="1" applyFill="1" applyAlignment="1">
      <alignment vertical="top"/>
    </xf>
    <xf numFmtId="2" fontId="8" fillId="8" borderId="0" xfId="2" applyNumberFormat="1" applyFon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indent="7"/>
    </xf>
    <xf numFmtId="0" fontId="3" fillId="6" borderId="1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1" fillId="0" borderId="8" xfId="0" applyFont="1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2" borderId="9" xfId="0" applyNumberForma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" fillId="0" borderId="20" xfId="0" applyFon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2" borderId="12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6" borderId="24" xfId="0" applyFill="1" applyBorder="1" applyAlignment="1" applyProtection="1">
      <alignment horizontal="center" vertical="center"/>
    </xf>
    <xf numFmtId="0" fontId="0" fillId="6" borderId="17" xfId="0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</xf>
    <xf numFmtId="0" fontId="0" fillId="0" borderId="7" xfId="0" applyBorder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6" borderId="2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3" fillId="6" borderId="33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right" vertical="center" wrapText="1"/>
    </xf>
    <xf numFmtId="0" fontId="4" fillId="6" borderId="0" xfId="0" applyFont="1" applyFill="1" applyAlignment="1">
      <alignment horizontal="right" vertical="top"/>
    </xf>
    <xf numFmtId="0" fontId="10" fillId="6" borderId="0" xfId="0" applyFont="1" applyFill="1" applyAlignment="1">
      <alignment horizontal="center" vertical="top"/>
    </xf>
  </cellXfs>
  <cellStyles count="3">
    <cellStyle name="20% - Accent2" xfId="1" builtinId="34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Audio</a:t>
            </a:r>
            <a:r>
              <a:rPr lang="en-US" sz="1000" baseline="0"/>
              <a:t>-to-Hapitcs Input Voltage to Output Drive Mapping</a:t>
            </a:r>
            <a:endParaRPr lang="en-US" sz="1000"/>
          </a:p>
        </c:rich>
      </c:tx>
      <c:layout>
        <c:manualLayout>
          <c:xMode val="edge"/>
          <c:yMode val="edge"/>
          <c:x val="0.26885693295683849"/>
          <c:y val="3.11814946104814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8507967580221"/>
          <c:y val="9.0020194765945735E-2"/>
          <c:w val="0.74741730853125643"/>
          <c:h val="0.71955545301233625"/>
        </c:manualLayout>
      </c:layout>
      <c:scatterChart>
        <c:scatterStyle val="smoothMarker"/>
        <c:varyColors val="0"/>
        <c:ser>
          <c:idx val="0"/>
          <c:order val="0"/>
          <c:tx>
            <c:v>ATH_MININPUT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>
                <a:prstDash val="dash"/>
              </a:ln>
            </c:spPr>
          </c:errBars>
          <c:xVal>
            <c:numRef>
              <c:f>Lists!$A$38:$A$39</c:f>
              <c:numCache>
                <c:formatCode>General</c:formatCode>
                <c:ptCount val="2"/>
                <c:pt idx="0">
                  <c:v>0.18</c:v>
                </c:pt>
                <c:pt idx="1">
                  <c:v>1.8</c:v>
                </c:pt>
              </c:numCache>
            </c:numRef>
          </c:xVal>
          <c:yVal>
            <c:numRef>
              <c:f>Lists!$B$38:$B$39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ATH_MAXINPUT</c:v>
          </c:tx>
          <c:spPr>
            <a:ln w="63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Lists!$A$40:$A$41</c:f>
              <c:numCache>
                <c:formatCode>General</c:formatCode>
                <c:ptCount val="2"/>
                <c:pt idx="0">
                  <c:v>0.18</c:v>
                </c:pt>
                <c:pt idx="1">
                  <c:v>1.8</c:v>
                </c:pt>
              </c:numCache>
            </c:numRef>
          </c:xVal>
          <c:yVal>
            <c:numRef>
              <c:f>Lists!$B$40:$B$41</c:f>
              <c:numCache>
                <c:formatCode>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</c:ser>
        <c:ser>
          <c:idx val="2"/>
          <c:order val="2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minus"/>
            <c:errValType val="percentage"/>
            <c:noEndCap val="1"/>
            <c:val val="100"/>
            <c:spPr>
              <a:ln>
                <a:prstDash val="dash"/>
              </a:ln>
            </c:spPr>
          </c:errBars>
          <c:xVal>
            <c:numRef>
              <c:f>(Lists!$A$38,Lists!$A$40)</c:f>
              <c:numCache>
                <c:formatCode>General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xVal>
          <c:yVal>
            <c:numRef>
              <c:f>(Lists!$B$38,Lists!$B$40)</c:f>
              <c:numCache>
                <c:formatCode>0</c:formatCode>
                <c:ptCount val="2"/>
                <c:pt idx="0" formatCode="General">
                  <c:v>10</c:v>
                </c:pt>
                <c:pt idx="1">
                  <c:v>100</c:v>
                </c:pt>
              </c:numCache>
            </c:numRef>
          </c:yVal>
          <c:smooth val="1"/>
        </c:ser>
        <c:ser>
          <c:idx val="3"/>
          <c:order val="3"/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(Lists!$A$39,Lists!$A$41)</c:f>
              <c:numCache>
                <c:formatCode>General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xVal>
          <c:yVal>
            <c:numRef>
              <c:f>(Lists!$B$39,Lists!$B$41)</c:f>
              <c:numCache>
                <c:formatCode>0</c:formatCode>
                <c:ptCount val="2"/>
                <c:pt idx="0" formatCode="General">
                  <c:v>10</c:v>
                </c:pt>
                <c:pt idx="1">
                  <c:v>100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(Lists!$A$38,Lists!$A$41)</c:f>
              <c:numCache>
                <c:formatCode>General</c:formatCode>
                <c:ptCount val="2"/>
                <c:pt idx="0">
                  <c:v>0.18</c:v>
                </c:pt>
                <c:pt idx="1">
                  <c:v>1.8</c:v>
                </c:pt>
              </c:numCache>
            </c:numRef>
          </c:xVal>
          <c:yVal>
            <c:numRef>
              <c:f>(Lists!$B$38,Lists!$B$41)</c:f>
              <c:numCache>
                <c:formatCode>0</c:formatCode>
                <c:ptCount val="2"/>
                <c:pt idx="0" formatCode="General">
                  <c:v>10</c:v>
                </c:pt>
                <c:pt idx="1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3776"/>
        <c:axId val="116525696"/>
      </c:scatterChart>
      <c:valAx>
        <c:axId val="116523776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</a:p>
            </c:rich>
          </c:tx>
          <c:layout>
            <c:manualLayout>
              <c:xMode val="edge"/>
              <c:yMode val="edge"/>
              <c:x val="0.42016034099279825"/>
              <c:y val="0.882958915849804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6525696"/>
        <c:crosses val="autoZero"/>
        <c:crossBetween val="midCat"/>
      </c:valAx>
      <c:valAx>
        <c:axId val="11652569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Level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523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18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6.png"/><Relationship Id="rId10" Type="http://schemas.openxmlformats.org/officeDocument/2006/relationships/image" Target="../media/image21.png"/><Relationship Id="rId4" Type="http://schemas.openxmlformats.org/officeDocument/2006/relationships/image" Target="../media/image5.png"/><Relationship Id="rId9" Type="http://schemas.openxmlformats.org/officeDocument/2006/relationships/image" Target="../media/image20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76200</xdr:rowOff>
    </xdr:from>
    <xdr:to>
      <xdr:col>2</xdr:col>
      <xdr:colOff>781049</xdr:colOff>
      <xdr:row>0</xdr:row>
      <xdr:rowOff>397138</xdr:rowOff>
    </xdr:to>
    <xdr:pic>
      <xdr:nvPicPr>
        <xdr:cNvPr id="2" name="Picture 1" descr="ti_hz_1c_rev_rgb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76200"/>
          <a:ext cx="2581274" cy="320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2</xdr:col>
      <xdr:colOff>790574</xdr:colOff>
      <xdr:row>0</xdr:row>
      <xdr:rowOff>397138</xdr:rowOff>
    </xdr:to>
    <xdr:pic>
      <xdr:nvPicPr>
        <xdr:cNvPr id="4" name="Picture 3" descr="ti_hz_1c_rev_rgb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76200"/>
          <a:ext cx="2581274" cy="320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6</xdr:row>
          <xdr:rowOff>114300</xdr:rowOff>
        </xdr:from>
        <xdr:to>
          <xdr:col>5</xdr:col>
          <xdr:colOff>1695450</xdr:colOff>
          <xdr:row>17</xdr:row>
          <xdr:rowOff>0</xdr:rowOff>
        </xdr:to>
        <xdr:sp macro="" textlink="">
          <xdr:nvSpPr>
            <xdr:cNvPr id="5130" name="Object 1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76200</xdr:rowOff>
    </xdr:from>
    <xdr:to>
      <xdr:col>2</xdr:col>
      <xdr:colOff>647699</xdr:colOff>
      <xdr:row>0</xdr:row>
      <xdr:rowOff>397138</xdr:rowOff>
    </xdr:to>
    <xdr:pic>
      <xdr:nvPicPr>
        <xdr:cNvPr id="2" name="Picture 1" descr="ti_hz_1c_rev_rgb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76200"/>
          <a:ext cx="2581274" cy="320938"/>
        </a:xfrm>
        <a:prstGeom prst="rect">
          <a:avLst/>
        </a:prstGeom>
      </xdr:spPr>
    </xdr:pic>
    <xdr:clientData/>
  </xdr:twoCellAnchor>
  <xdr:twoCellAnchor>
    <xdr:from>
      <xdr:col>1</xdr:col>
      <xdr:colOff>291353</xdr:colOff>
      <xdr:row>19</xdr:row>
      <xdr:rowOff>78441</xdr:rowOff>
    </xdr:from>
    <xdr:to>
      <xdr:col>6</xdr:col>
      <xdr:colOff>787773</xdr:colOff>
      <xdr:row>33</xdr:row>
      <xdr:rowOff>40340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11</xdr:row>
          <xdr:rowOff>85725</xdr:rowOff>
        </xdr:from>
        <xdr:to>
          <xdr:col>6</xdr:col>
          <xdr:colOff>1390650</xdr:colOff>
          <xdr:row>14</xdr:row>
          <xdr:rowOff>142875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</xdr:row>
          <xdr:rowOff>57150</xdr:rowOff>
        </xdr:from>
        <xdr:to>
          <xdr:col>0</xdr:col>
          <xdr:colOff>1457325</xdr:colOff>
          <xdr:row>14</xdr:row>
          <xdr:rowOff>114300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510145</xdr:colOff>
      <xdr:row>34</xdr:row>
      <xdr:rowOff>22267</xdr:rowOff>
    </xdr:from>
    <xdr:to>
      <xdr:col>10</xdr:col>
      <xdr:colOff>535776</xdr:colOff>
      <xdr:row>35</xdr:row>
      <xdr:rowOff>26077</xdr:rowOff>
    </xdr:to>
    <xdr:pic>
      <xdr:nvPicPr>
        <xdr:cNvPr id="2" name="equationview" descr="http://latex.codecogs.com/png.latex?%5Cdpi%7B300%7D%20RatedVoltage%20%280x16%29%20=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970" y="6994567"/>
          <a:ext cx="1854431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</xdr:row>
      <xdr:rowOff>19050</xdr:rowOff>
    </xdr:from>
    <xdr:to>
      <xdr:col>7</xdr:col>
      <xdr:colOff>578644</xdr:colOff>
      <xdr:row>7</xdr:row>
      <xdr:rowOff>192881</xdr:rowOff>
    </xdr:to>
    <xdr:pic>
      <xdr:nvPicPr>
        <xdr:cNvPr id="3" name="equationview" descr="http://latex.codecogs.com/png.latex?%5CLARGE%20%5Cdpi%7B300%7D%20V_%7Boverdrive%7D=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1628775"/>
          <a:ext cx="902494" cy="173831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57151</xdr:colOff>
      <xdr:row>51</xdr:row>
      <xdr:rowOff>0</xdr:rowOff>
    </xdr:from>
    <xdr:to>
      <xdr:col>10</xdr:col>
      <xdr:colOff>500064</xdr:colOff>
      <xdr:row>52</xdr:row>
      <xdr:rowOff>16669</xdr:rowOff>
    </xdr:to>
    <xdr:pic>
      <xdr:nvPicPr>
        <xdr:cNvPr id="4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6" y="10296525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509513</xdr:colOff>
      <xdr:row>7</xdr:row>
      <xdr:rowOff>19052</xdr:rowOff>
    </xdr:from>
    <xdr:to>
      <xdr:col>3</xdr:col>
      <xdr:colOff>561371</xdr:colOff>
      <xdr:row>8</xdr:row>
      <xdr:rowOff>5717</xdr:rowOff>
    </xdr:to>
    <xdr:pic>
      <xdr:nvPicPr>
        <xdr:cNvPr id="5" name="equationview" descr="http://latex.codecogs.com/png.latex?%5Chuge%20%5Cdpi%7B300%7D%20V_%7BRated%20Voltage%7D=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13" y="1628777"/>
          <a:ext cx="1271058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401409</xdr:colOff>
      <xdr:row>19</xdr:row>
      <xdr:rowOff>6802</xdr:rowOff>
    </xdr:from>
    <xdr:to>
      <xdr:col>4</xdr:col>
      <xdr:colOff>427039</xdr:colOff>
      <xdr:row>20</xdr:row>
      <xdr:rowOff>10612</xdr:rowOff>
    </xdr:to>
    <xdr:pic>
      <xdr:nvPicPr>
        <xdr:cNvPr id="6" name="equationview" descr="http://latex.codecogs.com/png.latex?%5Cdpi%7B300%7D%20RatedVoltage%20%280x16%29%20=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009" y="4035877"/>
          <a:ext cx="185443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24191</xdr:colOff>
      <xdr:row>19</xdr:row>
      <xdr:rowOff>14363</xdr:rowOff>
    </xdr:from>
    <xdr:to>
      <xdr:col>10</xdr:col>
      <xdr:colOff>467104</xdr:colOff>
      <xdr:row>20</xdr:row>
      <xdr:rowOff>31032</xdr:rowOff>
    </xdr:to>
    <xdr:pic>
      <xdr:nvPicPr>
        <xdr:cNvPr id="7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8616" y="4043438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510265</xdr:colOff>
      <xdr:row>12</xdr:row>
      <xdr:rowOff>0</xdr:rowOff>
    </xdr:from>
    <xdr:to>
      <xdr:col>4</xdr:col>
      <xdr:colOff>412565</xdr:colOff>
      <xdr:row>13</xdr:row>
      <xdr:rowOff>7620</xdr:rowOff>
    </xdr:to>
    <xdr:pic>
      <xdr:nvPicPr>
        <xdr:cNvPr id="8" name="equationview" descr="http://latex.codecogs.com/png.latex?%5Chuge%20%5Cdpi%7B300%7D%20DriveTime%20%280x1B%29=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865" y="2647950"/>
          <a:ext cx="1731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20411</xdr:rowOff>
    </xdr:from>
    <xdr:to>
      <xdr:col>9</xdr:col>
      <xdr:colOff>512717</xdr:colOff>
      <xdr:row>13</xdr:row>
      <xdr:rowOff>28031</xdr:rowOff>
    </xdr:to>
    <xdr:pic>
      <xdr:nvPicPr>
        <xdr:cNvPr id="9" name="equationview" descr="http://latex.codecogs.com/png.latex?%5Chuge%20%5Cdpi%7B300%7D%20IDissTime%20%280x1C%29=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668361"/>
          <a:ext cx="1731917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210911</xdr:colOff>
      <xdr:row>13</xdr:row>
      <xdr:rowOff>170090</xdr:rowOff>
    </xdr:from>
    <xdr:to>
      <xdr:col>4</xdr:col>
      <xdr:colOff>418011</xdr:colOff>
      <xdr:row>14</xdr:row>
      <xdr:rowOff>177710</xdr:rowOff>
    </xdr:to>
    <xdr:pic>
      <xdr:nvPicPr>
        <xdr:cNvPr id="10" name="equationview" descr="http://latex.codecogs.com/png.latex?%5Chuge%20%5Cdpi%7B300%7D%20BlankingTime%20%280x1C%29=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511" y="3008540"/>
          <a:ext cx="20359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400050</xdr:colOff>
      <xdr:row>11</xdr:row>
      <xdr:rowOff>90487</xdr:rowOff>
    </xdr:from>
    <xdr:ext cx="914400" cy="264560"/>
    <xdr:sp macro="" textlink="">
      <xdr:nvSpPr>
        <xdr:cNvPr id="11" name="TextBox 10"/>
        <xdr:cNvSpPr txBox="1"/>
      </xdr:nvSpPr>
      <xdr:spPr>
        <a:xfrm>
          <a:off x="4714875" y="2547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201085</xdr:colOff>
      <xdr:row>43</xdr:row>
      <xdr:rowOff>21167</xdr:rowOff>
    </xdr:from>
    <xdr:to>
      <xdr:col>2</xdr:col>
      <xdr:colOff>493979</xdr:colOff>
      <xdr:row>43</xdr:row>
      <xdr:rowOff>194998</xdr:rowOff>
    </xdr:to>
    <xdr:pic>
      <xdr:nvPicPr>
        <xdr:cNvPr id="12" name="equationview" descr="http://latex.codecogs.com/png.latex?%5CLARGE%20%5Cdpi%7B300%7D%20V_%7Boverdrive%7D=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685" y="8755592"/>
          <a:ext cx="902494" cy="173831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179917</xdr:colOff>
      <xdr:row>50</xdr:row>
      <xdr:rowOff>42337</xdr:rowOff>
    </xdr:from>
    <xdr:to>
      <xdr:col>5</xdr:col>
      <xdr:colOff>349673</xdr:colOff>
      <xdr:row>52</xdr:row>
      <xdr:rowOff>89962</xdr:rowOff>
    </xdr:to>
    <xdr:pic>
      <xdr:nvPicPr>
        <xdr:cNvPr id="13" name="equationview" descr="http://latex.codecogs.com/png.latex?%5Chuge%20%5Cdpi%7B300%7D%20ODClamp%280x17%29=%20%5Cfrac%20%7BV_%7Bpeak%7D%20%5Ctimes%20255%7D%7B5.44V%7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517" y="10148362"/>
          <a:ext cx="2608156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232834</xdr:colOff>
      <xdr:row>60</xdr:row>
      <xdr:rowOff>10584</xdr:rowOff>
    </xdr:from>
    <xdr:to>
      <xdr:col>2</xdr:col>
      <xdr:colOff>525728</xdr:colOff>
      <xdr:row>60</xdr:row>
      <xdr:rowOff>184415</xdr:rowOff>
    </xdr:to>
    <xdr:pic>
      <xdr:nvPicPr>
        <xdr:cNvPr id="14" name="equationview" descr="http://latex.codecogs.com/png.latex?%5CLARGE%20%5Cdpi%7B300%7D%20V_%7Boverdrive%7D=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434" y="12069234"/>
          <a:ext cx="902494" cy="173831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381003</xdr:colOff>
      <xdr:row>45</xdr:row>
      <xdr:rowOff>52918</xdr:rowOff>
    </xdr:from>
    <xdr:to>
      <xdr:col>10</xdr:col>
      <xdr:colOff>355814</xdr:colOff>
      <xdr:row>47</xdr:row>
      <xdr:rowOff>119593</xdr:rowOff>
    </xdr:to>
    <xdr:pic>
      <xdr:nvPicPr>
        <xdr:cNvPr id="15" name="equationview" descr="http://latex.codecogs.com/png.latex?%5Chuge%20%5Cdpi%7B300%7D%20V_%7Bpeak%7D=V_%7Boverdrive%7D%20%5Ctimes%20%5Cfrac%20%7BDriveTime%20+%20IDissTime%20+%20Blanking%20Time%7D%7BDriveTime%20-%20300%20%5Cmu%20s%7D%20=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3" y="9206443"/>
          <a:ext cx="5508836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52917</xdr:colOff>
      <xdr:row>62</xdr:row>
      <xdr:rowOff>158750</xdr:rowOff>
    </xdr:from>
    <xdr:to>
      <xdr:col>10</xdr:col>
      <xdr:colOff>495830</xdr:colOff>
      <xdr:row>63</xdr:row>
      <xdr:rowOff>175419</xdr:rowOff>
    </xdr:to>
    <xdr:pic>
      <xdr:nvPicPr>
        <xdr:cNvPr id="16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342" y="12636500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402167</xdr:colOff>
      <xdr:row>31</xdr:row>
      <xdr:rowOff>21167</xdr:rowOff>
    </xdr:from>
    <xdr:to>
      <xdr:col>3</xdr:col>
      <xdr:colOff>454025</xdr:colOff>
      <xdr:row>32</xdr:row>
      <xdr:rowOff>7831</xdr:rowOff>
    </xdr:to>
    <xdr:pic>
      <xdr:nvPicPr>
        <xdr:cNvPr id="17" name="equationview" descr="http://latex.codecogs.com/png.latex?%5Chuge%20%5Cdpi%7B300%7D%20V_%7BRated%20Voltage%7D=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767" y="6383867"/>
          <a:ext cx="1271058" cy="21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76200</xdr:rowOff>
    </xdr:to>
    <xdr:sp macro="" textlink="">
      <xdr:nvSpPr>
        <xdr:cNvPr id="18" name="equationview" descr="http://latex.codecogs.com/png.latex?%5Chuge%20%5Cdpi%7B300%7D%20RatedVoltage%280x16%29=%20%5Cfrac%20%7BV_%7BRatedVoltage%7D%20%5Ctimes%20255%7D%7B5.44V%7D"/>
        <xdr:cNvSpPr>
          <a:spLocks noChangeAspect="1" noChangeArrowheads="1"/>
        </xdr:cNvSpPr>
      </xdr:nvSpPr>
      <xdr:spPr bwMode="auto">
        <a:xfrm>
          <a:off x="4314825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201083</xdr:colOff>
      <xdr:row>62</xdr:row>
      <xdr:rowOff>42334</xdr:rowOff>
    </xdr:from>
    <xdr:to>
      <xdr:col>6</xdr:col>
      <xdr:colOff>70908</xdr:colOff>
      <xdr:row>64</xdr:row>
      <xdr:rowOff>67099</xdr:rowOff>
    </xdr:to>
    <xdr:pic>
      <xdr:nvPicPr>
        <xdr:cNvPr id="20" name="equationview" descr="http://latex.codecogs.com/png.latex?%5Chuge%20%5Cdpi%7B300%7D%20ODClamp%280x17%29=%20%5Cfrac%20%7BV_%7Boverdrive%7D%20%5Ctimes%20255%7D%7B5.6V%7D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683" y="12520084"/>
          <a:ext cx="2965450" cy="40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52917</xdr:colOff>
      <xdr:row>24</xdr:row>
      <xdr:rowOff>15875</xdr:rowOff>
    </xdr:from>
    <xdr:to>
      <xdr:col>10</xdr:col>
      <xdr:colOff>495830</xdr:colOff>
      <xdr:row>25</xdr:row>
      <xdr:rowOff>32544</xdr:rowOff>
    </xdr:to>
    <xdr:pic>
      <xdr:nvPicPr>
        <xdr:cNvPr id="21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342" y="4997450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368300</xdr:colOff>
      <xdr:row>33</xdr:row>
      <xdr:rowOff>93135</xdr:rowOff>
    </xdr:from>
    <xdr:to>
      <xdr:col>7</xdr:col>
      <xdr:colOff>168274</xdr:colOff>
      <xdr:row>35</xdr:row>
      <xdr:rowOff>120084</xdr:rowOff>
    </xdr:to>
    <xdr:pic>
      <xdr:nvPicPr>
        <xdr:cNvPr id="22" name="equationview" descr="http://latex.codecogs.com/png.latex?%5Cdpi%7B300%7D%20RatedVoltage%280x16%29%3D%5Cfrac%7BV_%7BRatedVoltage%7D%5Ctimes255%7D%7B5.36V%7D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6874935"/>
          <a:ext cx="3505199" cy="407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398317</xdr:colOff>
      <xdr:row>7</xdr:row>
      <xdr:rowOff>17318</xdr:rowOff>
    </xdr:from>
    <xdr:to>
      <xdr:col>2</xdr:col>
      <xdr:colOff>577040</xdr:colOff>
      <xdr:row>7</xdr:row>
      <xdr:rowOff>188768</xdr:rowOff>
    </xdr:to>
    <xdr:pic>
      <xdr:nvPicPr>
        <xdr:cNvPr id="2" name="equationview" descr="http://latex.codecogs.com/png.latex?%5Cdpi%7B300%7D%20f_%7Bactuator%7D=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917" y="1627043"/>
          <a:ext cx="788323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344508</xdr:colOff>
      <xdr:row>26</xdr:row>
      <xdr:rowOff>19174</xdr:rowOff>
    </xdr:from>
    <xdr:to>
      <xdr:col>10</xdr:col>
      <xdr:colOff>481323</xdr:colOff>
      <xdr:row>27</xdr:row>
      <xdr:rowOff>11554</xdr:rowOff>
    </xdr:to>
    <xdr:pic>
      <xdr:nvPicPr>
        <xdr:cNvPr id="3" name="equationview" descr="http://latex.codecogs.com/png.latex?%5Cdpi%7B300%7D%20V_%7Bavg%5C_abs%7D%20=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8533" y="5429374"/>
          <a:ext cx="74641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510145</xdr:colOff>
      <xdr:row>32</xdr:row>
      <xdr:rowOff>22267</xdr:rowOff>
    </xdr:from>
    <xdr:to>
      <xdr:col>10</xdr:col>
      <xdr:colOff>535776</xdr:colOff>
      <xdr:row>33</xdr:row>
      <xdr:rowOff>26077</xdr:rowOff>
    </xdr:to>
    <xdr:pic>
      <xdr:nvPicPr>
        <xdr:cNvPr id="4" name="equationview" descr="http://latex.codecogs.com/png.latex?%5Cdpi%7B300%7D%20RatedVoltage%20%280x16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970" y="6575467"/>
          <a:ext cx="1854431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285750</xdr:colOff>
      <xdr:row>7</xdr:row>
      <xdr:rowOff>19050</xdr:rowOff>
    </xdr:from>
    <xdr:to>
      <xdr:col>10</xdr:col>
      <xdr:colOff>578644</xdr:colOff>
      <xdr:row>7</xdr:row>
      <xdr:rowOff>192881</xdr:rowOff>
    </xdr:to>
    <xdr:pic>
      <xdr:nvPicPr>
        <xdr:cNvPr id="5" name="equationview" descr="http://latex.codecogs.com/png.latex?%5CLARGE%20%5Cdpi%7B300%7D%20V_%7Boverdrive%7D=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1628775"/>
          <a:ext cx="902494" cy="173831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57151</xdr:colOff>
      <xdr:row>46</xdr:row>
      <xdr:rowOff>0</xdr:rowOff>
    </xdr:from>
    <xdr:to>
      <xdr:col>10</xdr:col>
      <xdr:colOff>500064</xdr:colOff>
      <xdr:row>47</xdr:row>
      <xdr:rowOff>16669</xdr:rowOff>
    </xdr:to>
    <xdr:pic>
      <xdr:nvPicPr>
        <xdr:cNvPr id="6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6" y="9305925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</xdr:col>
      <xdr:colOff>592931</xdr:colOff>
      <xdr:row>42</xdr:row>
      <xdr:rowOff>200026</xdr:rowOff>
    </xdr:to>
    <xdr:pic>
      <xdr:nvPicPr>
        <xdr:cNvPr id="7" name="equationview" descr="http://latex.codecogs.com/png.latex?%5CLARGE%20%5Cdpi%7B300%7D%20V_%7Bpeak%7D%20=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6"/>
          <a:ext cx="592931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33160</xdr:rowOff>
    </xdr:from>
    <xdr:to>
      <xdr:col>5</xdr:col>
      <xdr:colOff>333375</xdr:colOff>
      <xdr:row>47</xdr:row>
      <xdr:rowOff>76200</xdr:rowOff>
    </xdr:to>
    <xdr:pic>
      <xdr:nvPicPr>
        <xdr:cNvPr id="8" name="equationview" descr="http://latex.codecogs.com/png.latex?%5Clarge%20%5Cdpi%7B300%7D%20ODClamp%20%280x17%29%20=%20%5Cfrac%7BV_%7Bpeak%7D%20%5Ctimes%20255%7D%7B5.6V%7D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8585"/>
          <a:ext cx="2771775" cy="42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509513</xdr:colOff>
      <xdr:row>7</xdr:row>
      <xdr:rowOff>19052</xdr:rowOff>
    </xdr:from>
    <xdr:to>
      <xdr:col>6</xdr:col>
      <xdr:colOff>519038</xdr:colOff>
      <xdr:row>8</xdr:row>
      <xdr:rowOff>5717</xdr:rowOff>
    </xdr:to>
    <xdr:pic>
      <xdr:nvPicPr>
        <xdr:cNvPr id="9" name="equationview" descr="http://latex.codecogs.com/png.latex?%5Chuge%20%5Cdpi%7B300%7D%20V_%7BRated%20Voltage%7D=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7913" y="1628777"/>
          <a:ext cx="127635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516995</xdr:colOff>
      <xdr:row>12</xdr:row>
      <xdr:rowOff>0</xdr:rowOff>
    </xdr:from>
    <xdr:to>
      <xdr:col>4</xdr:col>
      <xdr:colOff>550740</xdr:colOff>
      <xdr:row>13</xdr:row>
      <xdr:rowOff>7620</xdr:rowOff>
    </xdr:to>
    <xdr:pic>
      <xdr:nvPicPr>
        <xdr:cNvPr id="10" name="equationview" descr="http://latex.codecogs.com/png.latex?%5Chuge%20%5Cdpi%7B300%7D%20SampleTime%280x1C%29%20=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595" y="2647950"/>
          <a:ext cx="1862545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25</xdr:row>
      <xdr:rowOff>142874</xdr:rowOff>
    </xdr:from>
    <xdr:to>
      <xdr:col>9</xdr:col>
      <xdr:colOff>12518</xdr:colOff>
      <xdr:row>27</xdr:row>
      <xdr:rowOff>30479</xdr:rowOff>
    </xdr:to>
    <xdr:pic>
      <xdr:nvPicPr>
        <xdr:cNvPr id="11" name="equationview" descr="http://latex.codecogs.com/png.latex?%5Chuge%20%5Cdpi%7B300%7D%20V_%7Bavg%5C_abs%7D=V_%7Brms%7D%20%5Ctimes%20%5Csqrt%7B1-%20%284%20%5Ctimes%20SampleTime%20+%20300%5Cmu%20s%29f_%7BLRA%7D%7D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362574"/>
          <a:ext cx="4698818" cy="26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231326</xdr:colOff>
      <xdr:row>31</xdr:row>
      <xdr:rowOff>47623</xdr:rowOff>
    </xdr:from>
    <xdr:to>
      <xdr:col>6</xdr:col>
      <xdr:colOff>231053</xdr:colOff>
      <xdr:row>33</xdr:row>
      <xdr:rowOff>95248</xdr:rowOff>
    </xdr:to>
    <xdr:pic>
      <xdr:nvPicPr>
        <xdr:cNvPr id="12" name="equationview" descr="http://latex.codecogs.com/png.latex?%5Chuge%20%5Cdpi%7B300%7D%20RatedVoltage%280x16%29=%20%5Cfrac%7BV_%7Bavg%5C_abs%7D%20%5Ctimes%20255%7D%7B5.28V%7D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926" y="6410323"/>
          <a:ext cx="3095352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401409</xdr:colOff>
      <xdr:row>17</xdr:row>
      <xdr:rowOff>6802</xdr:rowOff>
    </xdr:from>
    <xdr:to>
      <xdr:col>4</xdr:col>
      <xdr:colOff>427039</xdr:colOff>
      <xdr:row>18</xdr:row>
      <xdr:rowOff>10612</xdr:rowOff>
    </xdr:to>
    <xdr:pic>
      <xdr:nvPicPr>
        <xdr:cNvPr id="13" name="equationview" descr="http://latex.codecogs.com/png.latex?%5Cdpi%7B300%7D%20RatedVoltage%20%280x16%29%20=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009" y="3654877"/>
          <a:ext cx="185443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13608</xdr:colOff>
      <xdr:row>16</xdr:row>
      <xdr:rowOff>183696</xdr:rowOff>
    </xdr:from>
    <xdr:to>
      <xdr:col>10</xdr:col>
      <xdr:colOff>456521</xdr:colOff>
      <xdr:row>18</xdr:row>
      <xdr:rowOff>9865</xdr:rowOff>
    </xdr:to>
    <xdr:pic>
      <xdr:nvPicPr>
        <xdr:cNvPr id="14" name="equationview" descr="http://latex.codecogs.com/png.latex?%5CLARGE%20%5Cdpi%7B300%7D%20ODClamp%280x17%29%20=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8033" y="3641271"/>
          <a:ext cx="1662113" cy="207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31" sqref="C31:C33"/>
    </sheetView>
  </sheetViews>
  <sheetFormatPr defaultRowHeight="15" x14ac:dyDescent="0.25"/>
  <cols>
    <col min="1" max="1" width="24.140625" customWidth="1"/>
    <col min="2" max="2" width="5.28515625" bestFit="1" customWidth="1"/>
    <col min="3" max="3" width="12" customWidth="1"/>
    <col min="4" max="4" width="17.42578125" customWidth="1"/>
    <col min="5" max="5" width="5" bestFit="1" customWidth="1"/>
    <col min="6" max="6" width="36.85546875" bestFit="1" customWidth="1"/>
    <col min="7" max="7" width="46.7109375" bestFit="1" customWidth="1"/>
  </cols>
  <sheetData>
    <row r="1" spans="1:7" ht="36" customHeight="1" x14ac:dyDescent="0.25">
      <c r="A1" s="117" t="s">
        <v>283</v>
      </c>
      <c r="B1" s="117"/>
      <c r="C1" s="117"/>
      <c r="D1" s="117"/>
      <c r="E1" s="117"/>
      <c r="F1" s="117"/>
      <c r="G1" s="117"/>
    </row>
    <row r="2" spans="1:7" x14ac:dyDescent="0.25">
      <c r="A2" s="118" t="s">
        <v>141</v>
      </c>
      <c r="B2" s="118"/>
      <c r="C2" s="118"/>
      <c r="D2" s="118"/>
      <c r="E2" s="118"/>
      <c r="F2" s="118"/>
      <c r="G2" s="118"/>
    </row>
    <row r="3" spans="1:7" ht="15.75" thickBot="1" x14ac:dyDescent="0.3">
      <c r="A3" s="55"/>
      <c r="B3" s="55"/>
      <c r="C3" s="55"/>
      <c r="D3" s="55"/>
      <c r="E3" s="55"/>
      <c r="F3" s="55"/>
      <c r="G3" s="55"/>
    </row>
    <row r="4" spans="1:7" ht="18.75" x14ac:dyDescent="0.3">
      <c r="A4" s="119" t="s">
        <v>2</v>
      </c>
      <c r="B4" s="120"/>
      <c r="C4" s="121"/>
      <c r="D4" s="22" t="s">
        <v>6</v>
      </c>
      <c r="E4" s="23"/>
      <c r="F4" s="23"/>
      <c r="G4" s="24"/>
    </row>
    <row r="5" spans="1:7" ht="15.75" thickBot="1" x14ac:dyDescent="0.3">
      <c r="A5" s="25" t="s">
        <v>5</v>
      </c>
      <c r="B5" s="26" t="s">
        <v>34</v>
      </c>
      <c r="C5" s="27" t="s">
        <v>112</v>
      </c>
      <c r="D5" s="28" t="s">
        <v>5</v>
      </c>
      <c r="E5" s="29" t="s">
        <v>1</v>
      </c>
      <c r="F5" s="30" t="s">
        <v>47</v>
      </c>
      <c r="G5" s="31" t="s">
        <v>0</v>
      </c>
    </row>
    <row r="6" spans="1:7" x14ac:dyDescent="0.25">
      <c r="A6" s="14" t="s">
        <v>88</v>
      </c>
      <c r="B6" s="15" t="s">
        <v>106</v>
      </c>
      <c r="C6" s="84">
        <v>53</v>
      </c>
      <c r="D6" s="16" t="s">
        <v>111</v>
      </c>
      <c r="E6" s="17" t="s">
        <v>110</v>
      </c>
      <c r="F6" s="18" t="s">
        <v>285</v>
      </c>
      <c r="G6" s="57" t="s">
        <v>282</v>
      </c>
    </row>
    <row r="7" spans="1:7" x14ac:dyDescent="0.25">
      <c r="A7" s="6" t="s">
        <v>107</v>
      </c>
      <c r="B7" s="2" t="s">
        <v>108</v>
      </c>
      <c r="C7" s="85">
        <v>89</v>
      </c>
      <c r="D7" s="7" t="s">
        <v>109</v>
      </c>
      <c r="E7" s="3" t="s">
        <v>110</v>
      </c>
      <c r="F7" s="18" t="s">
        <v>284</v>
      </c>
      <c r="G7" s="58" t="s">
        <v>282</v>
      </c>
    </row>
    <row r="8" spans="1:7" x14ac:dyDescent="0.25">
      <c r="A8" s="122" t="s">
        <v>3</v>
      </c>
      <c r="B8" s="123" t="s">
        <v>4</v>
      </c>
      <c r="C8" s="124" t="str">
        <f>BIN2HEX(CONCATENATE(DEC2BIN(VLOOKUP(F8,Lists!A1:B2,2)),DEC2BIN(VLOOKUP(F9,Lists!C1:D8,2),3),DEC2BIN(VLOOKUP(F10,Lists!E1:F4,2),2),DEC2BIN(VLOOKUP(F11,Lists!G1:H4,2),2)),2)</f>
        <v>B7</v>
      </c>
      <c r="D8" s="8" t="s">
        <v>7</v>
      </c>
      <c r="E8" s="5" t="s">
        <v>9</v>
      </c>
      <c r="F8" s="19" t="s">
        <v>10</v>
      </c>
      <c r="G8" s="9" t="s">
        <v>8</v>
      </c>
    </row>
    <row r="9" spans="1:7" x14ac:dyDescent="0.25">
      <c r="A9" s="122"/>
      <c r="B9" s="123"/>
      <c r="C9" s="124"/>
      <c r="D9" s="8" t="s">
        <v>11</v>
      </c>
      <c r="E9" s="4" t="s">
        <v>12</v>
      </c>
      <c r="F9" s="19" t="s">
        <v>21</v>
      </c>
      <c r="G9" s="9" t="s">
        <v>17</v>
      </c>
    </row>
    <row r="10" spans="1:7" x14ac:dyDescent="0.25">
      <c r="A10" s="122"/>
      <c r="B10" s="123"/>
      <c r="C10" s="124"/>
      <c r="D10" s="8" t="s">
        <v>13</v>
      </c>
      <c r="E10" s="4" t="s">
        <v>14</v>
      </c>
      <c r="F10" s="19" t="s">
        <v>236</v>
      </c>
      <c r="G10" s="9" t="s">
        <v>27</v>
      </c>
    </row>
    <row r="11" spans="1:7" ht="30" x14ac:dyDescent="0.25">
      <c r="A11" s="122"/>
      <c r="B11" s="123"/>
      <c r="C11" s="124"/>
      <c r="D11" s="8" t="s">
        <v>15</v>
      </c>
      <c r="E11" s="4" t="s">
        <v>16</v>
      </c>
      <c r="F11" s="19" t="s">
        <v>31</v>
      </c>
      <c r="G11" s="10" t="s">
        <v>169</v>
      </c>
    </row>
    <row r="12" spans="1:7" ht="30" x14ac:dyDescent="0.25">
      <c r="A12" s="40" t="s">
        <v>149</v>
      </c>
      <c r="B12" s="32" t="s">
        <v>150</v>
      </c>
      <c r="C12" s="81">
        <v>6</v>
      </c>
      <c r="D12" s="38" t="s">
        <v>151</v>
      </c>
      <c r="E12" s="33" t="s">
        <v>110</v>
      </c>
      <c r="F12" s="56" t="s">
        <v>170</v>
      </c>
      <c r="G12" s="10" t="s">
        <v>171</v>
      </c>
    </row>
    <row r="13" spans="1:7" ht="30" x14ac:dyDescent="0.25">
      <c r="A13" s="40" t="s">
        <v>152</v>
      </c>
      <c r="B13" s="32" t="s">
        <v>153</v>
      </c>
      <c r="C13" s="52" t="s">
        <v>288</v>
      </c>
      <c r="D13" s="38" t="s">
        <v>154</v>
      </c>
      <c r="E13" s="33" t="s">
        <v>110</v>
      </c>
      <c r="F13" s="56" t="s">
        <v>170</v>
      </c>
      <c r="G13" s="43" t="s">
        <v>172</v>
      </c>
    </row>
    <row r="14" spans="1:7" x14ac:dyDescent="0.25">
      <c r="A14" s="122" t="s">
        <v>35</v>
      </c>
      <c r="B14" s="123" t="s">
        <v>36</v>
      </c>
      <c r="C14" s="124" t="str">
        <f>BIN2HEX(CONCATENATE(DEC2BIN(VLOOKUP(F14,Lists!A10:B11,2),1),0,DEC2BIN(VLOOKUP(F15,Lists!C10:D11,2),1),DEC2BIN(F16,5)),2)</f>
        <v>93</v>
      </c>
      <c r="D14" s="8" t="s">
        <v>37</v>
      </c>
      <c r="E14" s="5" t="s">
        <v>9</v>
      </c>
      <c r="F14" s="19" t="s">
        <v>43</v>
      </c>
      <c r="G14" s="9" t="s">
        <v>45</v>
      </c>
    </row>
    <row r="15" spans="1:7" x14ac:dyDescent="0.25">
      <c r="A15" s="122"/>
      <c r="B15" s="123"/>
      <c r="C15" s="124"/>
      <c r="D15" s="8" t="s">
        <v>38</v>
      </c>
      <c r="E15" s="4" t="s">
        <v>40</v>
      </c>
      <c r="F15" s="19" t="s">
        <v>237</v>
      </c>
      <c r="G15" s="9" t="s">
        <v>46</v>
      </c>
    </row>
    <row r="16" spans="1:7" ht="30" x14ac:dyDescent="0.25">
      <c r="A16" s="122"/>
      <c r="B16" s="123"/>
      <c r="C16" s="124"/>
      <c r="D16" s="8" t="s">
        <v>39</v>
      </c>
      <c r="E16" s="4" t="s">
        <v>41</v>
      </c>
      <c r="F16" s="20">
        <v>19</v>
      </c>
      <c r="G16" s="10" t="s">
        <v>48</v>
      </c>
    </row>
    <row r="17" spans="1:7" x14ac:dyDescent="0.25">
      <c r="A17" s="122" t="s">
        <v>49</v>
      </c>
      <c r="B17" s="123" t="s">
        <v>60</v>
      </c>
      <c r="C17" s="125" t="str">
        <f>BIN2HEX(CONCATENATE(DEC2BIN(VLOOKUP(F17,Lists!A13:B14,2),1),DEC2BIN(VLOOKUP(F18,Lists!$C$10:$D$11,2),1),DEC2BIN(VLOOKUP(F19,Lists!E13:F16,2),2),DEC2BIN(VLOOKUP(F20,Lists!G13:H16,2),2),DEC2BIN(VLOOKUP(F21,Lists!G13:H16,2),2)),2)</f>
        <v>EA</v>
      </c>
      <c r="D17" s="8" t="s">
        <v>50</v>
      </c>
      <c r="E17" s="4" t="s">
        <v>9</v>
      </c>
      <c r="F17" s="19" t="s">
        <v>59</v>
      </c>
      <c r="G17" s="9" t="s">
        <v>124</v>
      </c>
    </row>
    <row r="18" spans="1:7" x14ac:dyDescent="0.25">
      <c r="A18" s="122"/>
      <c r="B18" s="123"/>
      <c r="C18" s="125"/>
      <c r="D18" s="8" t="s">
        <v>51</v>
      </c>
      <c r="E18" s="4" t="s">
        <v>54</v>
      </c>
      <c r="F18" s="19" t="s">
        <v>43</v>
      </c>
      <c r="G18" s="9" t="s">
        <v>125</v>
      </c>
    </row>
    <row r="19" spans="1:7" x14ac:dyDescent="0.25">
      <c r="A19" s="122"/>
      <c r="B19" s="123"/>
      <c r="C19" s="125"/>
      <c r="D19" s="8" t="s">
        <v>238</v>
      </c>
      <c r="E19" s="4" t="s">
        <v>55</v>
      </c>
      <c r="F19" s="19" t="s">
        <v>241</v>
      </c>
      <c r="G19" s="9" t="s">
        <v>126</v>
      </c>
    </row>
    <row r="20" spans="1:7" x14ac:dyDescent="0.25">
      <c r="A20" s="122"/>
      <c r="B20" s="123"/>
      <c r="C20" s="125"/>
      <c r="D20" s="8" t="s">
        <v>52</v>
      </c>
      <c r="E20" s="4" t="s">
        <v>14</v>
      </c>
      <c r="F20" s="19" t="s">
        <v>245</v>
      </c>
      <c r="G20" s="9" t="s">
        <v>127</v>
      </c>
    </row>
    <row r="21" spans="1:7" x14ac:dyDescent="0.25">
      <c r="A21" s="122"/>
      <c r="B21" s="123"/>
      <c r="C21" s="125"/>
      <c r="D21" s="8" t="s">
        <v>53</v>
      </c>
      <c r="E21" s="4" t="s">
        <v>16</v>
      </c>
      <c r="F21" s="19" t="s">
        <v>245</v>
      </c>
      <c r="G21" s="9" t="s">
        <v>128</v>
      </c>
    </row>
    <row r="22" spans="1:7" x14ac:dyDescent="0.25">
      <c r="A22" s="122" t="s">
        <v>61</v>
      </c>
      <c r="B22" s="123" t="s">
        <v>62</v>
      </c>
      <c r="C22" s="125" t="str">
        <f>BIN2HEX(CONCATENATE(DEC2BIN(VLOOKUP(F22,Lists!$A$18:$B$21,2),2),DEC2BIN(VLOOKUP(F23,Lists!$C$18:$D$19,2),1),DEC2BIN(VLOOKUP(F24,Lists!$E$18:$F$19,2),1),DEC2BIN(VLOOKUP(F25,Lists!$G$18:$H$19,2),1),DEC2BIN(VLOOKUP(F26,Lists!$I$18:$J$19,2),1),DEC2BIN(VLOOKUP(F27,Lists!$K$18:$L$19,2),1),DEC2BIN(VLOOKUP(F28,Lists!$M$18:$N$19,2),1)),2)</f>
        <v>80</v>
      </c>
      <c r="D22" s="8" t="s">
        <v>63</v>
      </c>
      <c r="E22" s="4" t="s">
        <v>82</v>
      </c>
      <c r="F22" s="19" t="s">
        <v>90</v>
      </c>
      <c r="G22" s="9" t="s">
        <v>129</v>
      </c>
    </row>
    <row r="23" spans="1:7" x14ac:dyDescent="0.25">
      <c r="A23" s="122"/>
      <c r="B23" s="123"/>
      <c r="C23" s="125"/>
      <c r="D23" s="8" t="s">
        <v>64</v>
      </c>
      <c r="E23" s="4" t="s">
        <v>40</v>
      </c>
      <c r="F23" s="19" t="s">
        <v>89</v>
      </c>
      <c r="G23" s="9" t="s">
        <v>130</v>
      </c>
    </row>
    <row r="24" spans="1:7" x14ac:dyDescent="0.25">
      <c r="A24" s="122"/>
      <c r="B24" s="123"/>
      <c r="C24" s="125"/>
      <c r="D24" s="8" t="s">
        <v>65</v>
      </c>
      <c r="E24" s="4" t="s">
        <v>83</v>
      </c>
      <c r="F24" s="19" t="s">
        <v>74</v>
      </c>
      <c r="G24" s="9" t="s">
        <v>131</v>
      </c>
    </row>
    <row r="25" spans="1:7" x14ac:dyDescent="0.25">
      <c r="A25" s="122"/>
      <c r="B25" s="123"/>
      <c r="C25" s="125"/>
      <c r="D25" s="8" t="s">
        <v>66</v>
      </c>
      <c r="E25" s="4" t="s">
        <v>84</v>
      </c>
      <c r="F25" s="19" t="s">
        <v>76</v>
      </c>
      <c r="G25" s="9" t="s">
        <v>132</v>
      </c>
    </row>
    <row r="26" spans="1:7" x14ac:dyDescent="0.25">
      <c r="A26" s="122"/>
      <c r="B26" s="123"/>
      <c r="C26" s="125"/>
      <c r="D26" s="8" t="s">
        <v>67</v>
      </c>
      <c r="E26" s="4" t="s">
        <v>85</v>
      </c>
      <c r="F26" s="19" t="s">
        <v>247</v>
      </c>
      <c r="G26" s="9" t="s">
        <v>133</v>
      </c>
    </row>
    <row r="27" spans="1:7" x14ac:dyDescent="0.25">
      <c r="A27" s="122"/>
      <c r="B27" s="123"/>
      <c r="C27" s="125"/>
      <c r="D27" s="8" t="s">
        <v>68</v>
      </c>
      <c r="E27" s="4" t="s">
        <v>86</v>
      </c>
      <c r="F27" s="19" t="s">
        <v>78</v>
      </c>
      <c r="G27" s="9" t="s">
        <v>134</v>
      </c>
    </row>
    <row r="28" spans="1:7" x14ac:dyDescent="0.25">
      <c r="A28" s="122"/>
      <c r="B28" s="123"/>
      <c r="C28" s="125"/>
      <c r="D28" s="8" t="s">
        <v>69</v>
      </c>
      <c r="E28" s="4" t="s">
        <v>87</v>
      </c>
      <c r="F28" s="19" t="s">
        <v>81</v>
      </c>
      <c r="G28" s="9" t="s">
        <v>135</v>
      </c>
    </row>
    <row r="29" spans="1:7" x14ac:dyDescent="0.25">
      <c r="A29" s="122" t="s">
        <v>113</v>
      </c>
      <c r="B29" s="123" t="s">
        <v>114</v>
      </c>
      <c r="C29" s="125" t="str">
        <f>BIN2HEX(CONCATENATE("000",DEC2BIN(VLOOKUP(F29,Lists!C13:D14,2),1),"0",DEC2BIN(VLOOKUP(F30,Lists!E23:F29,2),3)),2)</f>
        <v>06</v>
      </c>
      <c r="D29" s="8" t="s">
        <v>115</v>
      </c>
      <c r="E29" s="4" t="s">
        <v>83</v>
      </c>
      <c r="F29" s="19" t="s">
        <v>57</v>
      </c>
      <c r="G29" s="9" t="s">
        <v>136</v>
      </c>
    </row>
    <row r="30" spans="1:7" x14ac:dyDescent="0.25">
      <c r="A30" s="122"/>
      <c r="B30" s="123"/>
      <c r="C30" s="125"/>
      <c r="D30" s="8" t="s">
        <v>116</v>
      </c>
      <c r="E30" s="4" t="s">
        <v>95</v>
      </c>
      <c r="F30" s="19" t="s">
        <v>123</v>
      </c>
      <c r="G30" s="9" t="s">
        <v>137</v>
      </c>
    </row>
    <row r="31" spans="1:7" x14ac:dyDescent="0.25">
      <c r="A31" s="122" t="s">
        <v>91</v>
      </c>
      <c r="B31" s="123" t="s">
        <v>92</v>
      </c>
      <c r="C31" s="125" t="str">
        <f>BIN2HEX(CONCATENATE(DEC2BIN(VLOOKUP(F31,Lists!C13:D14,2),1),DEC2BIN(VLOOKUP(F32,Lists!A23:B24,2),1),"000",DEC2BIN(VLOOKUP(F33,Lists!C23:D30,2),3)),2)</f>
        <v>40</v>
      </c>
      <c r="D31" s="8" t="s">
        <v>93</v>
      </c>
      <c r="E31" s="4" t="s">
        <v>9</v>
      </c>
      <c r="F31" s="19" t="s">
        <v>57</v>
      </c>
      <c r="G31" s="9" t="s">
        <v>138</v>
      </c>
    </row>
    <row r="32" spans="1:7" x14ac:dyDescent="0.25">
      <c r="A32" s="122"/>
      <c r="B32" s="123"/>
      <c r="C32" s="125"/>
      <c r="D32" s="8" t="s">
        <v>94</v>
      </c>
      <c r="E32" s="4" t="s">
        <v>54</v>
      </c>
      <c r="F32" s="19" t="s">
        <v>97</v>
      </c>
      <c r="G32" s="9" t="s">
        <v>139</v>
      </c>
    </row>
    <row r="33" spans="1:7" ht="15.75" thickBot="1" x14ac:dyDescent="0.3">
      <c r="A33" s="131"/>
      <c r="B33" s="129"/>
      <c r="C33" s="130"/>
      <c r="D33" s="11" t="s">
        <v>91</v>
      </c>
      <c r="E33" s="12" t="s">
        <v>95</v>
      </c>
      <c r="F33" s="21" t="s">
        <v>98</v>
      </c>
      <c r="G33" s="13" t="s">
        <v>140</v>
      </c>
    </row>
  </sheetData>
  <sheetProtection sheet="1" objects="1" scenarios="1"/>
  <mergeCells count="21">
    <mergeCell ref="C14:C16"/>
    <mergeCell ref="C17:C21"/>
    <mergeCell ref="B17:B21"/>
    <mergeCell ref="A17:A21"/>
    <mergeCell ref="A29:A30"/>
    <mergeCell ref="A1:G1"/>
    <mergeCell ref="A2:G2"/>
    <mergeCell ref="B31:B33"/>
    <mergeCell ref="C31:C33"/>
    <mergeCell ref="A31:A33"/>
    <mergeCell ref="B29:B30"/>
    <mergeCell ref="C29:C30"/>
    <mergeCell ref="A4:C4"/>
    <mergeCell ref="C8:C11"/>
    <mergeCell ref="A8:A11"/>
    <mergeCell ref="B8:B11"/>
    <mergeCell ref="C22:C28"/>
    <mergeCell ref="B22:B28"/>
    <mergeCell ref="A22:A28"/>
    <mergeCell ref="A14:A16"/>
    <mergeCell ref="B14:B16"/>
  </mergeCells>
  <dataValidations count="20">
    <dataValidation type="list" allowBlank="1" showInputMessage="1" showErrorMessage="1" sqref="F8">
      <formula1>nERM_LRA_list</formula1>
    </dataValidation>
    <dataValidation type="list" allowBlank="1" showInputMessage="1" showErrorMessage="1" sqref="F9">
      <formula1>fbbrakefactor_list</formula1>
    </dataValidation>
    <dataValidation type="list" allowBlank="1" showInputMessage="1" showErrorMessage="1" sqref="F10">
      <formula1>loopresponse_list</formula1>
    </dataValidation>
    <dataValidation type="list" allowBlank="1" showInputMessage="1" showErrorMessage="1" sqref="F11">
      <formula1>bemfgain_list</formula1>
    </dataValidation>
    <dataValidation type="list" allowBlank="1" showInputMessage="1" showErrorMessage="1" sqref="F14 F18">
      <formula1>binary_defaulton_list</formula1>
    </dataValidation>
    <dataValidation type="list" allowBlank="1" showInputMessage="1" showErrorMessage="1" sqref="F15">
      <formula1>accouple_list</formula1>
    </dataValidation>
    <dataValidation type="list" allowBlank="1" showInputMessage="1" showErrorMessage="1" sqref="F17">
      <formula1>bidirinput_list</formula1>
    </dataValidation>
    <dataValidation type="list" allowBlank="1" showInputMessage="1" showErrorMessage="1" sqref="F29 F31">
      <formula1>binary_defaultoff_list</formula1>
    </dataValidation>
    <dataValidation type="list" allowBlank="1" showInputMessage="1" showErrorMessage="1" sqref="F19">
      <formula1>autoresgain_list</formula1>
    </dataValidation>
    <dataValidation type="list" allowBlank="1" showInputMessage="1" showErrorMessage="1" sqref="F20:F21">
      <formula1>blankingtime_list</formula1>
    </dataValidation>
    <dataValidation type="list" allowBlank="1" showInputMessage="1" showErrorMessage="1" sqref="F22">
      <formula1>ng_threshold_list</formula1>
    </dataValidation>
    <dataValidation type="list" allowBlank="1" showInputMessage="1" showErrorMessage="1" sqref="F23">
      <formula1>erm_openloop_list</formula1>
    </dataValidation>
    <dataValidation type="list" allowBlank="1" showInputMessage="1" showErrorMessage="1" sqref="F24">
      <formula1>supplycomp_list</formula1>
    </dataValidation>
    <dataValidation type="list" allowBlank="1" showInputMessage="1" showErrorMessage="1" sqref="F25">
      <formula1>dataformat_list</formula1>
    </dataValidation>
    <dataValidation type="list" allowBlank="1" showInputMessage="1" showErrorMessage="1" sqref="F26">
      <formula1>lradrivemode_list</formula1>
    </dataValidation>
    <dataValidation type="list" allowBlank="1" showInputMessage="1" showErrorMessage="1" sqref="F27">
      <formula1>npwm_analog_list</formula1>
    </dataValidation>
    <dataValidation type="list" allowBlank="1" showInputMessage="1" showErrorMessage="1" sqref="F28">
      <formula1>lra_openloop_list</formula1>
    </dataValidation>
    <dataValidation type="list" allowBlank="1" showInputMessage="1" showErrorMessage="1" sqref="F32">
      <formula1>standby_list</formula1>
    </dataValidation>
    <dataValidation type="list" allowBlank="1" showInputMessage="1" showErrorMessage="1" sqref="F33">
      <formula1>mode_list</formula1>
    </dataValidation>
    <dataValidation type="list" allowBlank="1" showInputMessage="1" showErrorMessage="1" sqref="F30">
      <formula1>librarysel_list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2"/>
  <sheetViews>
    <sheetView workbookViewId="0">
      <selection activeCell="F29" sqref="F29"/>
    </sheetView>
  </sheetViews>
  <sheetFormatPr defaultRowHeight="15" x14ac:dyDescent="0.25"/>
  <cols>
    <col min="1" max="1" width="24.140625" customWidth="1"/>
    <col min="2" max="2" width="5.28515625" bestFit="1" customWidth="1"/>
    <col min="3" max="3" width="12" customWidth="1"/>
    <col min="4" max="4" width="19.28515625" customWidth="1"/>
    <col min="5" max="5" width="5" bestFit="1" customWidth="1"/>
    <col min="6" max="6" width="36.85546875" bestFit="1" customWidth="1"/>
    <col min="7" max="7" width="46.7109375" bestFit="1" customWidth="1"/>
  </cols>
  <sheetData>
    <row r="1" spans="1:7" ht="37.5" customHeight="1" x14ac:dyDescent="0.25">
      <c r="A1" s="117" t="s">
        <v>283</v>
      </c>
      <c r="B1" s="117"/>
      <c r="C1" s="117"/>
      <c r="D1" s="117"/>
      <c r="E1" s="117"/>
      <c r="F1" s="117"/>
      <c r="G1" s="117"/>
    </row>
    <row r="2" spans="1:7" x14ac:dyDescent="0.25">
      <c r="A2" s="118" t="s">
        <v>173</v>
      </c>
      <c r="B2" s="118"/>
      <c r="C2" s="118"/>
      <c r="D2" s="118"/>
      <c r="E2" s="118"/>
      <c r="F2" s="118"/>
      <c r="G2" s="118"/>
    </row>
    <row r="3" spans="1:7" ht="15.75" thickBot="1" x14ac:dyDescent="0.3">
      <c r="A3" s="54"/>
      <c r="B3" s="54"/>
      <c r="C3" s="54"/>
      <c r="D3" s="54"/>
      <c r="E3" s="54"/>
      <c r="F3" s="54"/>
      <c r="G3" s="54"/>
    </row>
    <row r="4" spans="1:7" ht="18.75" x14ac:dyDescent="0.3">
      <c r="A4" s="119" t="s">
        <v>2</v>
      </c>
      <c r="B4" s="120"/>
      <c r="C4" s="121"/>
      <c r="D4" s="22" t="s">
        <v>6</v>
      </c>
      <c r="E4" s="23"/>
      <c r="F4" s="23"/>
      <c r="G4" s="24"/>
    </row>
    <row r="5" spans="1:7" ht="15.75" thickBot="1" x14ac:dyDescent="0.3">
      <c r="A5" s="25" t="s">
        <v>5</v>
      </c>
      <c r="B5" s="26" t="s">
        <v>34</v>
      </c>
      <c r="C5" s="27" t="s">
        <v>112</v>
      </c>
      <c r="D5" s="28" t="s">
        <v>5</v>
      </c>
      <c r="E5" s="29" t="s">
        <v>1</v>
      </c>
      <c r="F5" s="30" t="s">
        <v>47</v>
      </c>
      <c r="G5" s="31" t="s">
        <v>0</v>
      </c>
    </row>
    <row r="6" spans="1:7" x14ac:dyDescent="0.25">
      <c r="A6" s="135" t="s">
        <v>91</v>
      </c>
      <c r="B6" s="136" t="s">
        <v>92</v>
      </c>
      <c r="C6" s="137" t="str">
        <f>BIN2HEX(CONCATENATE(DEC2BIN(VLOOKUP(F6,Lists!C13:D14,2),1),DEC2BIN(VLOOKUP(F7,Lists!A23:B24,2),1),"000",DEC2BIN(VLOOKUP(F8,Lists!C23:D30,2),3)),2)</f>
        <v>00</v>
      </c>
      <c r="D6" s="50" t="s">
        <v>93</v>
      </c>
      <c r="E6" s="44" t="s">
        <v>9</v>
      </c>
      <c r="F6" s="45" t="s">
        <v>57</v>
      </c>
      <c r="G6" s="46" t="s">
        <v>138</v>
      </c>
    </row>
    <row r="7" spans="1:7" x14ac:dyDescent="0.25">
      <c r="A7" s="122"/>
      <c r="B7" s="123"/>
      <c r="C7" s="125"/>
      <c r="D7" s="36" t="s">
        <v>94</v>
      </c>
      <c r="E7" s="4" t="s">
        <v>54</v>
      </c>
      <c r="F7" s="19" t="s">
        <v>96</v>
      </c>
      <c r="G7" s="9" t="s">
        <v>139</v>
      </c>
    </row>
    <row r="8" spans="1:7" x14ac:dyDescent="0.25">
      <c r="A8" s="122"/>
      <c r="B8" s="123"/>
      <c r="C8" s="125"/>
      <c r="D8" s="36" t="s">
        <v>91</v>
      </c>
      <c r="E8" s="4" t="s">
        <v>95</v>
      </c>
      <c r="F8" s="19" t="s">
        <v>98</v>
      </c>
      <c r="G8" s="9" t="s">
        <v>140</v>
      </c>
    </row>
    <row r="9" spans="1:7" x14ac:dyDescent="0.25">
      <c r="A9" s="140" t="s">
        <v>174</v>
      </c>
      <c r="B9" s="32" t="s">
        <v>175</v>
      </c>
      <c r="C9" s="52" t="s">
        <v>183</v>
      </c>
      <c r="D9" s="36" t="s">
        <v>186</v>
      </c>
      <c r="E9" s="4" t="s">
        <v>110</v>
      </c>
      <c r="F9" s="142" t="s">
        <v>194</v>
      </c>
      <c r="G9" s="132" t="s">
        <v>185</v>
      </c>
    </row>
    <row r="10" spans="1:7" x14ac:dyDescent="0.25">
      <c r="A10" s="141"/>
      <c r="B10" s="32" t="s">
        <v>176</v>
      </c>
      <c r="C10" s="52" t="s">
        <v>183</v>
      </c>
      <c r="D10" s="36" t="s">
        <v>187</v>
      </c>
      <c r="E10" s="4" t="s">
        <v>110</v>
      </c>
      <c r="F10" s="143"/>
      <c r="G10" s="133"/>
    </row>
    <row r="11" spans="1:7" x14ac:dyDescent="0.25">
      <c r="A11" s="141"/>
      <c r="B11" s="32" t="s">
        <v>177</v>
      </c>
      <c r="C11" s="52" t="s">
        <v>183</v>
      </c>
      <c r="D11" s="36" t="s">
        <v>188</v>
      </c>
      <c r="E11" s="4" t="s">
        <v>110</v>
      </c>
      <c r="F11" s="143"/>
      <c r="G11" s="133"/>
    </row>
    <row r="12" spans="1:7" x14ac:dyDescent="0.25">
      <c r="A12" s="141"/>
      <c r="B12" s="32" t="s">
        <v>178</v>
      </c>
      <c r="C12" s="52" t="s">
        <v>183</v>
      </c>
      <c r="D12" s="36" t="s">
        <v>189</v>
      </c>
      <c r="E12" s="4" t="s">
        <v>110</v>
      </c>
      <c r="F12" s="143"/>
      <c r="G12" s="133"/>
    </row>
    <row r="13" spans="1:7" x14ac:dyDescent="0.25">
      <c r="A13" s="141"/>
      <c r="B13" s="32" t="s">
        <v>179</v>
      </c>
      <c r="C13" s="52" t="s">
        <v>183</v>
      </c>
      <c r="D13" s="36" t="s">
        <v>190</v>
      </c>
      <c r="E13" s="4" t="s">
        <v>110</v>
      </c>
      <c r="F13" s="143"/>
      <c r="G13" s="133"/>
    </row>
    <row r="14" spans="1:7" x14ac:dyDescent="0.25">
      <c r="A14" s="141"/>
      <c r="B14" s="32" t="s">
        <v>180</v>
      </c>
      <c r="C14" s="52" t="s">
        <v>183</v>
      </c>
      <c r="D14" s="36" t="s">
        <v>191</v>
      </c>
      <c r="E14" s="4" t="s">
        <v>110</v>
      </c>
      <c r="F14" s="143"/>
      <c r="G14" s="133"/>
    </row>
    <row r="15" spans="1:7" ht="15" customHeight="1" x14ac:dyDescent="0.25">
      <c r="A15" s="141"/>
      <c r="B15" s="32" t="s">
        <v>181</v>
      </c>
      <c r="C15" s="52" t="s">
        <v>183</v>
      </c>
      <c r="D15" s="36" t="s">
        <v>192</v>
      </c>
      <c r="E15" s="4" t="s">
        <v>110</v>
      </c>
      <c r="F15" s="143"/>
      <c r="G15" s="133"/>
    </row>
    <row r="16" spans="1:7" x14ac:dyDescent="0.25">
      <c r="A16" s="127"/>
      <c r="B16" s="32" t="s">
        <v>182</v>
      </c>
      <c r="C16" s="52" t="s">
        <v>183</v>
      </c>
      <c r="D16" s="36" t="s">
        <v>193</v>
      </c>
      <c r="E16" s="4" t="s">
        <v>110</v>
      </c>
      <c r="F16" s="144"/>
      <c r="G16" s="134"/>
    </row>
    <row r="17" spans="1:7" x14ac:dyDescent="0.25">
      <c r="A17" s="47" t="s">
        <v>146</v>
      </c>
      <c r="B17" s="34" t="s">
        <v>147</v>
      </c>
      <c r="C17" s="41" t="str">
        <f>BIN2HEX(CONCATENATE("00",DEC2BIN(VLOOKUP(F17,Lists!C13:D14,2),2)),2)</f>
        <v>01</v>
      </c>
      <c r="D17" s="37" t="s">
        <v>146</v>
      </c>
      <c r="E17" s="33" t="s">
        <v>87</v>
      </c>
      <c r="F17" s="19" t="s">
        <v>58</v>
      </c>
      <c r="G17" s="9" t="s">
        <v>148</v>
      </c>
    </row>
    <row r="18" spans="1:7" x14ac:dyDescent="0.25">
      <c r="A18" s="122" t="s">
        <v>155</v>
      </c>
      <c r="B18" s="128" t="s">
        <v>156</v>
      </c>
      <c r="C18" s="126" t="s">
        <v>286</v>
      </c>
      <c r="D18" s="39" t="s">
        <v>157</v>
      </c>
      <c r="E18" s="35" t="s">
        <v>162</v>
      </c>
      <c r="F18" s="35" t="s">
        <v>287</v>
      </c>
      <c r="G18" s="42" t="s">
        <v>165</v>
      </c>
    </row>
    <row r="19" spans="1:7" x14ac:dyDescent="0.25">
      <c r="A19" s="122"/>
      <c r="B19" s="128"/>
      <c r="C19" s="126"/>
      <c r="D19" s="39" t="s">
        <v>158</v>
      </c>
      <c r="E19" s="35" t="s">
        <v>84</v>
      </c>
      <c r="F19" s="35" t="s">
        <v>164</v>
      </c>
      <c r="G19" s="42" t="s">
        <v>184</v>
      </c>
    </row>
    <row r="20" spans="1:7" x14ac:dyDescent="0.25">
      <c r="A20" s="122"/>
      <c r="B20" s="128"/>
      <c r="C20" s="126"/>
      <c r="D20" s="39" t="s">
        <v>159</v>
      </c>
      <c r="E20" s="35" t="s">
        <v>85</v>
      </c>
      <c r="F20" s="35" t="s">
        <v>163</v>
      </c>
      <c r="G20" s="42" t="s">
        <v>166</v>
      </c>
    </row>
    <row r="21" spans="1:7" x14ac:dyDescent="0.25">
      <c r="A21" s="122"/>
      <c r="B21" s="128"/>
      <c r="C21" s="126"/>
      <c r="D21" s="39" t="s">
        <v>160</v>
      </c>
      <c r="E21" s="35" t="s">
        <v>86</v>
      </c>
      <c r="F21" s="35" t="s">
        <v>164</v>
      </c>
      <c r="G21" s="42" t="s">
        <v>167</v>
      </c>
    </row>
    <row r="22" spans="1:7" ht="15.75" thickBot="1" x14ac:dyDescent="0.3">
      <c r="A22" s="131"/>
      <c r="B22" s="138"/>
      <c r="C22" s="139"/>
      <c r="D22" s="51" t="s">
        <v>161</v>
      </c>
      <c r="E22" s="48" t="s">
        <v>87</v>
      </c>
      <c r="F22" s="48" t="s">
        <v>164</v>
      </c>
      <c r="G22" s="49" t="s">
        <v>168</v>
      </c>
    </row>
  </sheetData>
  <sheetProtection sheet="1" objects="1" scenarios="1"/>
  <mergeCells count="12">
    <mergeCell ref="A18:A22"/>
    <mergeCell ref="B18:B22"/>
    <mergeCell ref="C18:C22"/>
    <mergeCell ref="A9:A16"/>
    <mergeCell ref="F9:F16"/>
    <mergeCell ref="G9:G16"/>
    <mergeCell ref="A1:G1"/>
    <mergeCell ref="A2:G2"/>
    <mergeCell ref="A6:A8"/>
    <mergeCell ref="B6:B8"/>
    <mergeCell ref="C6:C8"/>
    <mergeCell ref="A4:C4"/>
  </mergeCells>
  <dataValidations count="3">
    <dataValidation type="list" allowBlank="1" showInputMessage="1" showErrorMessage="1" sqref="F6 F17">
      <formula1>binary_defaultoff_list</formula1>
    </dataValidation>
    <dataValidation type="list" allowBlank="1" showInputMessage="1" showErrorMessage="1" sqref="F7">
      <formula1>standby_list</formula1>
    </dataValidation>
    <dataValidation type="list" allowBlank="1" showInputMessage="1" showErrorMessage="1" sqref="F8">
      <formula1>mode_list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zoomScale="85" zoomScaleNormal="85" workbookViewId="0">
      <selection activeCell="I4" sqref="I4"/>
    </sheetView>
  </sheetViews>
  <sheetFormatPr defaultRowHeight="15" x14ac:dyDescent="0.25"/>
  <cols>
    <col min="1" max="1" width="26.28515625" customWidth="1"/>
    <col min="2" max="2" width="5.28515625" bestFit="1" customWidth="1"/>
    <col min="3" max="3" width="12" customWidth="1"/>
    <col min="4" max="4" width="19.28515625" customWidth="1"/>
    <col min="5" max="5" width="5" bestFit="1" customWidth="1"/>
    <col min="6" max="6" width="36.85546875" bestFit="1" customWidth="1"/>
    <col min="7" max="7" width="51.42578125" customWidth="1"/>
  </cols>
  <sheetData>
    <row r="1" spans="1:8" ht="37.5" customHeight="1" x14ac:dyDescent="0.25">
      <c r="A1" s="117" t="s">
        <v>283</v>
      </c>
      <c r="B1" s="117"/>
      <c r="C1" s="117"/>
      <c r="D1" s="117"/>
      <c r="E1" s="117"/>
      <c r="F1" s="117"/>
      <c r="G1" s="117"/>
      <c r="H1" s="117"/>
    </row>
    <row r="2" spans="1:8" x14ac:dyDescent="0.25">
      <c r="A2" s="118" t="s">
        <v>207</v>
      </c>
      <c r="B2" s="118"/>
      <c r="C2" s="118"/>
      <c r="D2" s="118"/>
      <c r="E2" s="118"/>
      <c r="F2" s="118"/>
      <c r="G2" s="118"/>
      <c r="H2" s="118"/>
    </row>
    <row r="3" spans="1:8" x14ac:dyDescent="0.25">
      <c r="A3" s="54"/>
      <c r="B3" s="54"/>
      <c r="C3" s="54"/>
      <c r="D3" s="54"/>
      <c r="E3" s="54"/>
      <c r="F3" s="54"/>
      <c r="G3" s="54"/>
      <c r="H3" s="54"/>
    </row>
    <row r="4" spans="1:8" ht="60" customHeight="1" x14ac:dyDescent="0.25">
      <c r="A4" s="147" t="s">
        <v>234</v>
      </c>
      <c r="B4" s="147"/>
      <c r="C4" s="147"/>
      <c r="D4" s="147"/>
      <c r="E4" s="147"/>
      <c r="F4" s="147"/>
      <c r="G4" s="147"/>
      <c r="H4" s="54"/>
    </row>
    <row r="5" spans="1:8" x14ac:dyDescent="0.25">
      <c r="A5" s="148" t="s">
        <v>226</v>
      </c>
      <c r="B5" s="148"/>
      <c r="C5" s="148"/>
      <c r="D5" s="148"/>
      <c r="E5" s="148"/>
      <c r="F5" s="54"/>
      <c r="G5" s="54"/>
      <c r="H5" s="54"/>
    </row>
    <row r="6" spans="1:8" x14ac:dyDescent="0.25">
      <c r="A6" s="54"/>
      <c r="B6" s="54"/>
      <c r="C6" s="54"/>
      <c r="D6" s="54"/>
      <c r="E6" s="54"/>
      <c r="F6" s="54"/>
      <c r="G6" s="54"/>
      <c r="H6" s="54"/>
    </row>
    <row r="7" spans="1:8" x14ac:dyDescent="0.25">
      <c r="A7" s="54"/>
      <c r="B7" s="54"/>
      <c r="C7" s="54"/>
      <c r="D7" s="54"/>
      <c r="E7" s="54"/>
      <c r="F7" s="54"/>
      <c r="G7" s="54"/>
      <c r="H7" s="54"/>
    </row>
    <row r="8" spans="1:8" x14ac:dyDescent="0.25">
      <c r="A8" s="54"/>
      <c r="B8" s="54"/>
      <c r="C8" s="54"/>
      <c r="D8" s="54"/>
      <c r="E8" s="54"/>
      <c r="F8" s="54"/>
      <c r="G8" s="54"/>
      <c r="H8" s="54"/>
    </row>
    <row r="9" spans="1:8" x14ac:dyDescent="0.25">
      <c r="A9" s="54"/>
      <c r="B9" s="54"/>
      <c r="C9" s="54"/>
      <c r="D9" s="54"/>
      <c r="E9" s="54"/>
      <c r="F9" s="54"/>
      <c r="G9" s="54"/>
      <c r="H9" s="54"/>
    </row>
    <row r="10" spans="1:8" x14ac:dyDescent="0.25">
      <c r="A10" s="149" t="s">
        <v>227</v>
      </c>
      <c r="B10" s="149"/>
      <c r="C10" s="149"/>
      <c r="D10" s="149"/>
      <c r="F10" s="54"/>
      <c r="G10" s="62" t="s">
        <v>229</v>
      </c>
      <c r="H10" s="54"/>
    </row>
    <row r="11" spans="1:8" x14ac:dyDescent="0.25">
      <c r="A11" s="78">
        <v>1.8</v>
      </c>
      <c r="B11" s="82"/>
      <c r="C11" s="64"/>
      <c r="D11" s="54"/>
      <c r="F11" s="54"/>
      <c r="G11" s="63">
        <v>1</v>
      </c>
      <c r="H11" s="54"/>
    </row>
    <row r="12" spans="1:8" x14ac:dyDescent="0.25">
      <c r="A12" s="54"/>
      <c r="B12" s="54"/>
      <c r="C12" s="54"/>
      <c r="D12" s="54"/>
      <c r="E12" s="54"/>
      <c r="F12" s="54"/>
      <c r="G12" s="54"/>
      <c r="H12" s="54"/>
    </row>
    <row r="13" spans="1:8" x14ac:dyDescent="0.25">
      <c r="A13" s="54"/>
      <c r="B13" s="54"/>
      <c r="C13" s="54"/>
      <c r="D13" s="54"/>
      <c r="E13" s="54"/>
      <c r="F13" s="54"/>
      <c r="G13" s="54"/>
      <c r="H13" s="54"/>
    </row>
    <row r="14" spans="1:8" x14ac:dyDescent="0.25">
      <c r="A14" s="54"/>
      <c r="B14" s="54"/>
      <c r="C14" s="54"/>
      <c r="D14" s="54"/>
      <c r="E14" s="54"/>
      <c r="F14" s="54"/>
      <c r="G14" s="54"/>
      <c r="H14" s="54"/>
    </row>
    <row r="15" spans="1:8" x14ac:dyDescent="0.25">
      <c r="A15" s="54"/>
      <c r="B15" s="54"/>
      <c r="C15" s="54"/>
      <c r="D15" s="54"/>
      <c r="E15" s="54"/>
      <c r="F15" s="54"/>
      <c r="G15" s="54"/>
      <c r="H15" s="54"/>
    </row>
    <row r="16" spans="1:8" x14ac:dyDescent="0.25">
      <c r="A16" s="149" t="s">
        <v>228</v>
      </c>
      <c r="B16" s="149"/>
      <c r="C16" s="149"/>
      <c r="D16" s="80"/>
      <c r="F16" s="54"/>
      <c r="G16" s="62" t="s">
        <v>230</v>
      </c>
      <c r="H16" s="54"/>
    </row>
    <row r="17" spans="1:8" x14ac:dyDescent="0.25">
      <c r="A17" s="79">
        <v>0.18</v>
      </c>
      <c r="B17" s="83"/>
      <c r="C17" s="54"/>
      <c r="D17" s="54"/>
      <c r="F17" s="54"/>
      <c r="G17" s="63">
        <v>0.1</v>
      </c>
      <c r="H17" s="54"/>
    </row>
    <row r="18" spans="1:8" x14ac:dyDescent="0.25">
      <c r="A18" s="54"/>
      <c r="B18" s="54"/>
      <c r="C18" s="54"/>
      <c r="D18" s="54"/>
      <c r="E18" s="54"/>
      <c r="F18" s="54"/>
      <c r="G18" s="54"/>
      <c r="H18" s="54"/>
    </row>
    <row r="19" spans="1:8" x14ac:dyDescent="0.25">
      <c r="A19" s="67"/>
      <c r="B19" s="67"/>
      <c r="C19" s="67"/>
      <c r="D19" s="67"/>
      <c r="E19" s="67"/>
      <c r="F19" s="67"/>
      <c r="G19" s="67"/>
      <c r="H19" s="54"/>
    </row>
    <row r="20" spans="1:8" x14ac:dyDescent="0.25">
      <c r="A20" s="150"/>
      <c r="B20" s="150"/>
      <c r="C20" s="150"/>
      <c r="D20" s="150"/>
      <c r="E20" s="150"/>
      <c r="F20" s="150"/>
      <c r="G20" s="150"/>
      <c r="H20" s="54"/>
    </row>
    <row r="21" spans="1:8" x14ac:dyDescent="0.25">
      <c r="A21" s="151"/>
      <c r="B21" s="151"/>
      <c r="C21" s="151"/>
      <c r="D21" s="151"/>
      <c r="E21" s="151"/>
      <c r="F21" s="151"/>
      <c r="G21" s="151"/>
      <c r="H21" s="54"/>
    </row>
    <row r="22" spans="1:8" x14ac:dyDescent="0.25">
      <c r="A22" s="151"/>
      <c r="B22" s="151"/>
      <c r="C22" s="151"/>
      <c r="D22" s="151"/>
      <c r="E22" s="151"/>
      <c r="F22" s="151"/>
      <c r="G22" s="151"/>
      <c r="H22" s="54"/>
    </row>
    <row r="23" spans="1:8" x14ac:dyDescent="0.25">
      <c r="A23" s="151"/>
      <c r="B23" s="151"/>
      <c r="C23" s="151"/>
      <c r="D23" s="151"/>
      <c r="E23" s="151"/>
      <c r="F23" s="151"/>
      <c r="G23" s="151"/>
      <c r="H23" s="54"/>
    </row>
    <row r="24" spans="1:8" x14ac:dyDescent="0.25">
      <c r="A24" s="151"/>
      <c r="B24" s="151"/>
      <c r="C24" s="151"/>
      <c r="D24" s="151"/>
      <c r="E24" s="151"/>
      <c r="F24" s="151"/>
      <c r="G24" s="151"/>
      <c r="H24" s="54"/>
    </row>
    <row r="25" spans="1:8" x14ac:dyDescent="0.25">
      <c r="A25" s="151"/>
      <c r="B25" s="151"/>
      <c r="C25" s="151"/>
      <c r="D25" s="151"/>
      <c r="E25" s="151"/>
      <c r="F25" s="151"/>
      <c r="G25" s="151"/>
      <c r="H25" s="54"/>
    </row>
    <row r="26" spans="1:8" x14ac:dyDescent="0.25">
      <c r="A26" s="151"/>
      <c r="B26" s="151"/>
      <c r="C26" s="151"/>
      <c r="D26" s="151"/>
      <c r="E26" s="151"/>
      <c r="F26" s="151"/>
      <c r="G26" s="151"/>
      <c r="H26" s="54"/>
    </row>
    <row r="27" spans="1:8" x14ac:dyDescent="0.25">
      <c r="A27" s="151"/>
      <c r="B27" s="151"/>
      <c r="C27" s="151"/>
      <c r="D27" s="151"/>
      <c r="E27" s="151"/>
      <c r="F27" s="151"/>
      <c r="G27" s="151"/>
      <c r="H27" s="54"/>
    </row>
    <row r="28" spans="1:8" x14ac:dyDescent="0.25">
      <c r="A28" s="151"/>
      <c r="B28" s="151"/>
      <c r="C28" s="151"/>
      <c r="D28" s="151"/>
      <c r="E28" s="151"/>
      <c r="F28" s="151"/>
      <c r="G28" s="151"/>
      <c r="H28" s="54"/>
    </row>
    <row r="29" spans="1:8" x14ac:dyDescent="0.25">
      <c r="A29" s="151"/>
      <c r="B29" s="151"/>
      <c r="C29" s="151"/>
      <c r="D29" s="151"/>
      <c r="E29" s="151"/>
      <c r="F29" s="151"/>
      <c r="G29" s="151"/>
      <c r="H29" s="54"/>
    </row>
    <row r="30" spans="1:8" x14ac:dyDescent="0.25">
      <c r="A30" s="151"/>
      <c r="B30" s="151"/>
      <c r="C30" s="151"/>
      <c r="D30" s="151"/>
      <c r="E30" s="151"/>
      <c r="F30" s="151"/>
      <c r="G30" s="151"/>
      <c r="H30" s="54"/>
    </row>
    <row r="31" spans="1:8" x14ac:dyDescent="0.25">
      <c r="A31" s="151"/>
      <c r="B31" s="151"/>
      <c r="C31" s="151"/>
      <c r="D31" s="151"/>
      <c r="E31" s="151"/>
      <c r="F31" s="151"/>
      <c r="G31" s="151"/>
      <c r="H31" s="54"/>
    </row>
    <row r="32" spans="1:8" x14ac:dyDescent="0.25">
      <c r="A32" s="151"/>
      <c r="B32" s="151"/>
      <c r="C32" s="151"/>
      <c r="D32" s="151"/>
      <c r="E32" s="151"/>
      <c r="F32" s="151"/>
      <c r="G32" s="151"/>
      <c r="H32" s="54"/>
    </row>
    <row r="33" spans="1:8" x14ac:dyDescent="0.25">
      <c r="A33" s="152"/>
      <c r="B33" s="152"/>
      <c r="C33" s="152"/>
      <c r="D33" s="152"/>
      <c r="E33" s="152"/>
      <c r="F33" s="152"/>
      <c r="G33" s="152"/>
      <c r="H33" s="67"/>
    </row>
    <row r="34" spans="1:8" x14ac:dyDescent="0.25">
      <c r="A34" s="66"/>
      <c r="B34" s="66"/>
      <c r="C34" s="66"/>
      <c r="D34" s="66"/>
      <c r="E34" s="66"/>
      <c r="F34" s="66"/>
      <c r="G34" s="66"/>
      <c r="H34" s="67"/>
    </row>
    <row r="35" spans="1:8" ht="15.75" x14ac:dyDescent="0.25">
      <c r="A35" s="146" t="s">
        <v>231</v>
      </c>
      <c r="B35" s="146"/>
      <c r="C35" s="146"/>
      <c r="D35" s="54"/>
      <c r="E35" s="54"/>
      <c r="F35" s="54"/>
      <c r="G35" s="54"/>
      <c r="H35" s="54"/>
    </row>
    <row r="36" spans="1:8" ht="15.75" thickBot="1" x14ac:dyDescent="0.3">
      <c r="A36" s="54"/>
      <c r="B36" s="54"/>
      <c r="C36" s="54"/>
      <c r="D36" s="54"/>
      <c r="E36" s="54"/>
      <c r="F36" s="54"/>
      <c r="G36" s="54"/>
      <c r="H36" s="54"/>
    </row>
    <row r="37" spans="1:8" ht="18.75" x14ac:dyDescent="0.3">
      <c r="A37" s="119" t="s">
        <v>2</v>
      </c>
      <c r="B37" s="120"/>
      <c r="C37" s="121"/>
      <c r="D37" s="22" t="s">
        <v>6</v>
      </c>
      <c r="E37" s="23"/>
      <c r="F37" s="23"/>
      <c r="G37" s="24"/>
      <c r="H37" s="54"/>
    </row>
    <row r="38" spans="1:8" ht="15.75" thickBot="1" x14ac:dyDescent="0.3">
      <c r="A38" s="68" t="s">
        <v>5</v>
      </c>
      <c r="B38" s="69" t="s">
        <v>34</v>
      </c>
      <c r="C38" s="70" t="s">
        <v>112</v>
      </c>
      <c r="D38" s="72" t="s">
        <v>5</v>
      </c>
      <c r="E38" s="73" t="s">
        <v>1</v>
      </c>
      <c r="F38" s="74" t="s">
        <v>47</v>
      </c>
      <c r="G38" s="75" t="s">
        <v>0</v>
      </c>
      <c r="H38" s="54"/>
    </row>
    <row r="39" spans="1:8" x14ac:dyDescent="0.25">
      <c r="A39" s="135" t="s">
        <v>91</v>
      </c>
      <c r="B39" s="136" t="s">
        <v>92</v>
      </c>
      <c r="C39" s="137" t="str">
        <f>BIN2HEX(CONCATENATE(DEC2BIN(VLOOKUP(F39,Lists!C13:D14,2),1),DEC2BIN(VLOOKUP(F40,Lists!A23:B24,2),1),"000",DEC2BIN(VLOOKUP(F41,Lists!C23:D30,2),3)),2)</f>
        <v>04</v>
      </c>
      <c r="D39" s="76" t="s">
        <v>93</v>
      </c>
      <c r="E39" s="44" t="s">
        <v>9</v>
      </c>
      <c r="F39" s="45" t="s">
        <v>57</v>
      </c>
      <c r="G39" s="153" t="s">
        <v>232</v>
      </c>
      <c r="H39" s="54"/>
    </row>
    <row r="40" spans="1:8" x14ac:dyDescent="0.25">
      <c r="A40" s="122"/>
      <c r="B40" s="123"/>
      <c r="C40" s="125"/>
      <c r="D40" s="8" t="s">
        <v>94</v>
      </c>
      <c r="E40" s="4" t="s">
        <v>54</v>
      </c>
      <c r="F40" s="19" t="s">
        <v>96</v>
      </c>
      <c r="G40" s="154"/>
      <c r="H40" s="54"/>
    </row>
    <row r="41" spans="1:8" x14ac:dyDescent="0.25">
      <c r="A41" s="122"/>
      <c r="B41" s="123"/>
      <c r="C41" s="125"/>
      <c r="D41" s="8" t="s">
        <v>91</v>
      </c>
      <c r="E41" s="4" t="s">
        <v>95</v>
      </c>
      <c r="F41" s="19" t="s">
        <v>102</v>
      </c>
      <c r="G41" s="155"/>
      <c r="H41" s="54"/>
    </row>
    <row r="42" spans="1:8" x14ac:dyDescent="0.25">
      <c r="A42" s="122" t="s">
        <v>202</v>
      </c>
      <c r="B42" s="145" t="s">
        <v>201</v>
      </c>
      <c r="C42" s="125" t="str">
        <f>BIN2HEX(CONCATENATE("0000",DEC2BIN(VLOOKUP(F42,Lists!A32:B35,2),2),DEC2BIN(VLOOKUP(F43,Lists!C32:D35,2),2)),2)</f>
        <v>05</v>
      </c>
      <c r="D42" s="8" t="s">
        <v>249</v>
      </c>
      <c r="E42" s="4" t="s">
        <v>14</v>
      </c>
      <c r="F42" s="19" t="s">
        <v>204</v>
      </c>
      <c r="G42" s="9" t="s">
        <v>206</v>
      </c>
      <c r="H42" s="54"/>
    </row>
    <row r="43" spans="1:8" x14ac:dyDescent="0.25">
      <c r="A43" s="122"/>
      <c r="B43" s="145"/>
      <c r="C43" s="125"/>
      <c r="D43" s="8" t="s">
        <v>203</v>
      </c>
      <c r="E43" s="4" t="s">
        <v>16</v>
      </c>
      <c r="F43" s="19" t="s">
        <v>205</v>
      </c>
      <c r="G43" s="9" t="s">
        <v>208</v>
      </c>
      <c r="H43" s="54"/>
    </row>
    <row r="44" spans="1:8" x14ac:dyDescent="0.25">
      <c r="A44" s="59" t="s">
        <v>209</v>
      </c>
      <c r="B44" s="71" t="s">
        <v>210</v>
      </c>
      <c r="C44" s="60" t="str">
        <f>DEC2HEX(ROUNDDOWN(F44/1.8*255,0),2)</f>
        <v>19</v>
      </c>
      <c r="D44" s="8" t="s">
        <v>217</v>
      </c>
      <c r="E44" s="4" t="s">
        <v>110</v>
      </c>
      <c r="F44" s="77">
        <f>A17</f>
        <v>0.18</v>
      </c>
      <c r="G44" s="9" t="s">
        <v>221</v>
      </c>
      <c r="H44" s="54"/>
    </row>
    <row r="45" spans="1:8" x14ac:dyDescent="0.25">
      <c r="A45" s="59" t="s">
        <v>211</v>
      </c>
      <c r="B45" s="71" t="s">
        <v>212</v>
      </c>
      <c r="C45" s="60" t="str">
        <f>DEC2HEX(ROUNDDOWN(F45/1.8*255,0),2)</f>
        <v>FF</v>
      </c>
      <c r="D45" s="8" t="s">
        <v>218</v>
      </c>
      <c r="E45" s="4" t="s">
        <v>110</v>
      </c>
      <c r="F45" s="77">
        <f>A11</f>
        <v>1.8</v>
      </c>
      <c r="G45" s="9" t="s">
        <v>222</v>
      </c>
      <c r="H45" s="54"/>
    </row>
    <row r="46" spans="1:8" x14ac:dyDescent="0.25">
      <c r="A46" s="59" t="s">
        <v>213</v>
      </c>
      <c r="B46" s="71" t="s">
        <v>215</v>
      </c>
      <c r="C46" s="60" t="str">
        <f>DEC2HEX(ROUNDDOWN(F46*255,0),2)</f>
        <v>19</v>
      </c>
      <c r="D46" s="8" t="s">
        <v>219</v>
      </c>
      <c r="E46" s="4" t="s">
        <v>110</v>
      </c>
      <c r="F46" s="65">
        <f>G17</f>
        <v>0.1</v>
      </c>
      <c r="G46" s="9" t="s">
        <v>224</v>
      </c>
      <c r="H46" s="54"/>
    </row>
    <row r="47" spans="1:8" x14ac:dyDescent="0.25">
      <c r="A47" s="59" t="s">
        <v>214</v>
      </c>
      <c r="B47" s="71" t="s">
        <v>216</v>
      </c>
      <c r="C47" s="60" t="str">
        <f>DEC2HEX(ROUNDDOWN(F47*255,0),2)</f>
        <v>FF</v>
      </c>
      <c r="D47" s="8" t="s">
        <v>220</v>
      </c>
      <c r="E47" s="4" t="s">
        <v>110</v>
      </c>
      <c r="F47" s="65">
        <f>G11</f>
        <v>1</v>
      </c>
      <c r="G47" s="9" t="s">
        <v>223</v>
      </c>
      <c r="H47" s="54"/>
    </row>
    <row r="48" spans="1:8" x14ac:dyDescent="0.25">
      <c r="A48" s="122" t="s">
        <v>35</v>
      </c>
      <c r="B48" s="123" t="s">
        <v>36</v>
      </c>
      <c r="C48" s="124" t="str">
        <f>BIN2HEX(CONCATENATE(DEC2BIN(VLOOKUP(F48,Lists!E18:F19,2),1),0,DEC2BIN(VLOOKUP(F49,Lists!C10:D11,2),1),DEC2BIN(F50,5)),2)</f>
        <v>B3</v>
      </c>
      <c r="D48" s="8" t="s">
        <v>37</v>
      </c>
      <c r="E48" s="5" t="s">
        <v>9</v>
      </c>
      <c r="F48" s="19" t="s">
        <v>43</v>
      </c>
      <c r="G48" s="9" t="s">
        <v>45</v>
      </c>
      <c r="H48" s="54"/>
    </row>
    <row r="49" spans="1:8" x14ac:dyDescent="0.25">
      <c r="A49" s="122"/>
      <c r="B49" s="123"/>
      <c r="C49" s="124"/>
      <c r="D49" s="8" t="s">
        <v>38</v>
      </c>
      <c r="E49" s="4" t="s">
        <v>40</v>
      </c>
      <c r="F49" s="53" t="s">
        <v>44</v>
      </c>
      <c r="G49" s="9" t="s">
        <v>46</v>
      </c>
      <c r="H49" s="54"/>
    </row>
    <row r="50" spans="1:8" ht="30" x14ac:dyDescent="0.25">
      <c r="A50" s="122"/>
      <c r="B50" s="123"/>
      <c r="C50" s="124"/>
      <c r="D50" s="8" t="s">
        <v>39</v>
      </c>
      <c r="E50" s="4" t="s">
        <v>41</v>
      </c>
      <c r="F50" s="20">
        <v>19</v>
      </c>
      <c r="G50" s="10" t="s">
        <v>48</v>
      </c>
      <c r="H50" s="54"/>
    </row>
    <row r="51" spans="1:8" x14ac:dyDescent="0.25">
      <c r="A51" s="122" t="s">
        <v>61</v>
      </c>
      <c r="B51" s="123" t="s">
        <v>62</v>
      </c>
      <c r="C51" s="125" t="str">
        <f>BIN2HEX(CONCATENATE(DEC2BIN(VLOOKUP(F51,Lists!$A$18:$B$21,2),2),DEC2BIN(VLOOKUP(F52,Lists!$C$18:$D$19,2),1),DEC2BIN(VLOOKUP(F53,Lists!$E$18:$F$19,2),1),DEC2BIN(VLOOKUP(F54,Lists!$G$18:$H$19,2),1),DEC2BIN(VLOOKUP(F55,Lists!$I$18:$J$19,2),1),DEC2BIN(VLOOKUP(F56,Lists!$K$18:$L$19,2),1),DEC2BIN(VLOOKUP(F57,Lists!$M$18:$N$19,2),1)),2)</f>
        <v>82</v>
      </c>
      <c r="D51" s="8" t="s">
        <v>63</v>
      </c>
      <c r="E51" s="4" t="s">
        <v>82</v>
      </c>
      <c r="F51" s="19" t="s">
        <v>90</v>
      </c>
      <c r="G51" s="9" t="s">
        <v>129</v>
      </c>
      <c r="H51" s="54"/>
    </row>
    <row r="52" spans="1:8" x14ac:dyDescent="0.25">
      <c r="A52" s="122"/>
      <c r="B52" s="123"/>
      <c r="C52" s="125"/>
      <c r="D52" s="8" t="s">
        <v>64</v>
      </c>
      <c r="E52" s="4" t="s">
        <v>40</v>
      </c>
      <c r="F52" s="19" t="s">
        <v>89</v>
      </c>
      <c r="G52" s="9" t="s">
        <v>130</v>
      </c>
      <c r="H52" s="54"/>
    </row>
    <row r="53" spans="1:8" x14ac:dyDescent="0.25">
      <c r="A53" s="122"/>
      <c r="B53" s="123"/>
      <c r="C53" s="125"/>
      <c r="D53" s="8" t="s">
        <v>65</v>
      </c>
      <c r="E53" s="4" t="s">
        <v>83</v>
      </c>
      <c r="F53" s="19" t="s">
        <v>74</v>
      </c>
      <c r="G53" s="9" t="s">
        <v>131</v>
      </c>
    </row>
    <row r="54" spans="1:8" x14ac:dyDescent="0.25">
      <c r="A54" s="122"/>
      <c r="B54" s="123"/>
      <c r="C54" s="125"/>
      <c r="D54" s="8" t="s">
        <v>66</v>
      </c>
      <c r="E54" s="4" t="s">
        <v>84</v>
      </c>
      <c r="F54" s="19" t="s">
        <v>76</v>
      </c>
      <c r="G54" s="9" t="s">
        <v>132</v>
      </c>
    </row>
    <row r="55" spans="1:8" ht="15" customHeight="1" x14ac:dyDescent="0.25">
      <c r="A55" s="122"/>
      <c r="B55" s="123"/>
      <c r="C55" s="125"/>
      <c r="D55" s="8" t="s">
        <v>67</v>
      </c>
      <c r="E55" s="4" t="s">
        <v>85</v>
      </c>
      <c r="F55" s="19" t="s">
        <v>247</v>
      </c>
      <c r="G55" s="9" t="s">
        <v>133</v>
      </c>
    </row>
    <row r="56" spans="1:8" x14ac:dyDescent="0.25">
      <c r="A56" s="122"/>
      <c r="B56" s="123"/>
      <c r="C56" s="125"/>
      <c r="D56" s="8" t="s">
        <v>68</v>
      </c>
      <c r="E56" s="4" t="s">
        <v>86</v>
      </c>
      <c r="F56" s="53" t="s">
        <v>79</v>
      </c>
      <c r="G56" s="9" t="s">
        <v>134</v>
      </c>
    </row>
    <row r="57" spans="1:8" x14ac:dyDescent="0.25">
      <c r="A57" s="122"/>
      <c r="B57" s="123"/>
      <c r="C57" s="125"/>
      <c r="D57" s="8" t="s">
        <v>69</v>
      </c>
      <c r="E57" s="4" t="s">
        <v>87</v>
      </c>
      <c r="F57" s="19" t="s">
        <v>81</v>
      </c>
      <c r="G57" s="9" t="s">
        <v>135</v>
      </c>
    </row>
    <row r="58" spans="1:8" x14ac:dyDescent="0.25">
      <c r="A58" s="122" t="s">
        <v>91</v>
      </c>
      <c r="B58" s="123" t="s">
        <v>92</v>
      </c>
      <c r="C58" s="125" t="str">
        <f>BIN2HEX(CONCATENATE(DEC2BIN(VLOOKUP(F58,Lists!C22:D23,2),1),DEC2BIN(VLOOKUP(F59,Lists!A32:B33,2),1),"000",DEC2BIN(VLOOKUP(F60,Lists!C32:D39,2),3)),2)</f>
        <v>03</v>
      </c>
      <c r="D58" s="8" t="s">
        <v>93</v>
      </c>
      <c r="E58" s="4" t="s">
        <v>9</v>
      </c>
      <c r="F58" s="19" t="s">
        <v>57</v>
      </c>
      <c r="G58" s="156" t="s">
        <v>233</v>
      </c>
    </row>
    <row r="59" spans="1:8" x14ac:dyDescent="0.25">
      <c r="A59" s="122"/>
      <c r="B59" s="123"/>
      <c r="C59" s="125"/>
      <c r="D59" s="8" t="s">
        <v>94</v>
      </c>
      <c r="E59" s="4" t="s">
        <v>54</v>
      </c>
      <c r="F59" s="19" t="s">
        <v>96</v>
      </c>
      <c r="G59" s="154"/>
    </row>
    <row r="60" spans="1:8" ht="15.75" thickBot="1" x14ac:dyDescent="0.3">
      <c r="A60" s="131"/>
      <c r="B60" s="129"/>
      <c r="C60" s="130"/>
      <c r="D60" s="11" t="s">
        <v>91</v>
      </c>
      <c r="E60" s="12" t="s">
        <v>95</v>
      </c>
      <c r="F60" s="21" t="s">
        <v>102</v>
      </c>
      <c r="G60" s="157"/>
    </row>
    <row r="61" spans="1:8" x14ac:dyDescent="0.25">
      <c r="A61" s="54"/>
      <c r="B61" s="54"/>
      <c r="C61" s="54"/>
      <c r="D61" s="54"/>
      <c r="E61" s="54"/>
      <c r="F61" s="54"/>
      <c r="G61" s="54"/>
    </row>
  </sheetData>
  <sheetProtection sheet="1" objects="1" scenarios="1"/>
  <mergeCells count="26">
    <mergeCell ref="A58:A60"/>
    <mergeCell ref="B58:B60"/>
    <mergeCell ref="C58:C60"/>
    <mergeCell ref="G39:G41"/>
    <mergeCell ref="G58:G60"/>
    <mergeCell ref="A48:A50"/>
    <mergeCell ref="B48:B50"/>
    <mergeCell ref="C48:C50"/>
    <mergeCell ref="A51:A57"/>
    <mergeCell ref="B51:B57"/>
    <mergeCell ref="C51:C57"/>
    <mergeCell ref="A1:H1"/>
    <mergeCell ref="A2:H2"/>
    <mergeCell ref="C42:C43"/>
    <mergeCell ref="A42:A43"/>
    <mergeCell ref="B42:B43"/>
    <mergeCell ref="A37:C37"/>
    <mergeCell ref="A39:A41"/>
    <mergeCell ref="B39:B41"/>
    <mergeCell ref="C39:C41"/>
    <mergeCell ref="A35:C35"/>
    <mergeCell ref="A4:G4"/>
    <mergeCell ref="A5:E5"/>
    <mergeCell ref="A10:D10"/>
    <mergeCell ref="A16:C16"/>
    <mergeCell ref="A20:G33"/>
  </mergeCells>
  <dataValidations count="19">
    <dataValidation type="list" allowBlank="1" showInputMessage="1" showErrorMessage="1" sqref="F41 F60">
      <formula1>mode_list</formula1>
    </dataValidation>
    <dataValidation type="list" allowBlank="1" showInputMessage="1" showErrorMessage="1" sqref="F40 F59">
      <formula1>standby_list</formula1>
    </dataValidation>
    <dataValidation type="list" allowBlank="1" showInputMessage="1" showErrorMessage="1" sqref="F39 F58">
      <formula1>binary_defaultoff_list</formula1>
    </dataValidation>
    <dataValidation type="list" allowBlank="1" showInputMessage="1" showErrorMessage="1" sqref="F42">
      <formula1>ath_rectime_list</formula1>
    </dataValidation>
    <dataValidation type="list" allowBlank="1" showInputMessage="1" showErrorMessage="1" sqref="F43">
      <formula1>ath_filter_list</formula1>
    </dataValidation>
    <dataValidation type="decimal" allowBlank="1" showInputMessage="1" showErrorMessage="1" errorTitle="Value Out of Range" error="The maximum input voltage should be between 0 and 1.8V." promptTitle="Maximum Input Voltage Detection" prompt="ATH_MaxInput (Reg. 0x13)_x000a_Enter the audio source maximum input voltage up to 1.8V full-scale. " sqref="A11:B11">
      <formula1>0</formula1>
      <formula2>1.8</formula2>
    </dataValidation>
    <dataValidation type="decimal" allowBlank="1" showInputMessage="1" showErrorMessage="1" errorTitle="Value Out of Range" error="The minimum input voltage should be between 0 and 1.8V." promptTitle="Minimum Input Voltage Detection" prompt="ATH_MinInput (0x12)_x000a_Enter the minimum input voltage detection.  The minimum input voltage sets the input noise floor for the audio-to-haptics engine." sqref="A17:B17">
      <formula1>0</formula1>
      <formula2>1.8</formula2>
    </dataValidation>
    <dataValidation type="decimal" allowBlank="1" showInputMessage="1" showErrorMessage="1" errorTitle="Value Out of Range" error="The maximum output drive level should be between 0 - 100%." promptTitle="Maximum Output Drive" prompt="ATH_MaxDrive (Reg. 0x15)_x000a_Enter the maximum output drive for audio-to-haptics.  This output level corresponds to the full scale input voltage set by ATH_MaxInput (0x13)." sqref="G11">
      <formula1>0</formula1>
      <formula2>1</formula2>
    </dataValidation>
    <dataValidation type="decimal" allowBlank="1" showInputMessage="1" showErrorMessage="1" errorTitle="Value Out of Range" error="The minimum output drive level should be between 0 - 100%." promptTitle="Minimum Output Drive" prompt="ATH_MinDrive (Reg. 0x14)_x000a_Enter the minimum output drive level for audio-to-haptics.  This corresponds to the minimum input voltage set by ATH_MinInput (0x12)." sqref="G17">
      <formula1>0</formula1>
      <formula2>1</formula2>
    </dataValidation>
    <dataValidation type="decimal" allowBlank="1" showInputMessage="1" showErrorMessage="1" sqref="F46:F47">
      <formula1>0</formula1>
      <formula2>1</formula2>
    </dataValidation>
    <dataValidation type="list" allowBlank="1" showInputMessage="1" showErrorMessage="1" sqref="F48">
      <formula1>binary_defaulton_list</formula1>
    </dataValidation>
    <dataValidation type="list" allowBlank="1" showInputMessage="1" showErrorMessage="1" sqref="F57">
      <formula1>lra_openloop_list</formula1>
    </dataValidation>
    <dataValidation type="list" allowBlank="1" showInputMessage="1" showErrorMessage="1" sqref="F55">
      <formula1>lradrivemode_list</formula1>
    </dataValidation>
    <dataValidation type="list" allowBlank="1" showInputMessage="1" showErrorMessage="1" sqref="F54">
      <formula1>dataformat_list</formula1>
    </dataValidation>
    <dataValidation type="list" allowBlank="1" showInputMessage="1" showErrorMessage="1" sqref="F53">
      <formula1>supplycomp_list</formula1>
    </dataValidation>
    <dataValidation type="list" allowBlank="1" showInputMessage="1" showErrorMessage="1" sqref="F52">
      <formula1>erm_openloop_list</formula1>
    </dataValidation>
    <dataValidation type="list" allowBlank="1" showInputMessage="1" showErrorMessage="1" sqref="F51">
      <formula1>ng_threshold_list</formula1>
    </dataValidation>
    <dataValidation allowBlank="1" showInputMessage="1" showErrorMessage="1" errorTitle="IN/TRIG Coupling" error="Audio-to-haptics requires AC Coupling." sqref="F49"/>
    <dataValidation allowBlank="1" showInputMessage="1" showErrorMessage="1" errorTitle="IN/TRIG Input Mux" error="Audio-to-haptics requires analog input." sqref="F56"/>
  </dataValidations>
  <pageMargins left="0.7" right="0.7" top="0.75" bottom="0.75" header="0.3" footer="0.3"/>
  <pageSetup orientation="portrait" r:id="rId1"/>
  <ignoredErrors>
    <ignoredError sqref="C45" formula="1"/>
    <ignoredError sqref="F45:F47" unlockedFormula="1"/>
  </ignoredErrors>
  <drawing r:id="rId2"/>
  <legacyDrawing r:id="rId3"/>
  <oleObjects>
    <mc:AlternateContent xmlns:mc="http://schemas.openxmlformats.org/markup-compatibility/2006">
      <mc:Choice Requires="x14">
        <oleObject progId="Visio.Drawing.11" shapeId="5130" r:id="rId4">
          <objectPr defaultSize="0" autoPict="0" r:id="rId5">
            <anchor moveWithCells="1" sizeWithCells="1">
              <from>
                <xdr:col>2</xdr:col>
                <xdr:colOff>133350</xdr:colOff>
                <xdr:row>6</xdr:row>
                <xdr:rowOff>114300</xdr:rowOff>
              </from>
              <to>
                <xdr:col>5</xdr:col>
                <xdr:colOff>1695450</xdr:colOff>
                <xdr:row>17</xdr:row>
                <xdr:rowOff>0</xdr:rowOff>
              </to>
            </anchor>
          </objectPr>
        </oleObject>
      </mc:Choice>
      <mc:Fallback>
        <oleObject progId="Visio.Drawing.11" shapeId="5130" r:id="rId4"/>
      </mc:Fallback>
    </mc:AlternateContent>
    <mc:AlternateContent xmlns:mc="http://schemas.openxmlformats.org/markup-compatibility/2006">
      <mc:Choice Requires="x14">
        <oleObject progId="Visio.Drawing.11" shapeId="5132" r:id="rId6">
          <objectPr defaultSize="0" autoPict="0" r:id="rId7">
            <anchor moveWithCells="1">
              <from>
                <xdr:col>6</xdr:col>
                <xdr:colOff>85725</xdr:colOff>
                <xdr:row>11</xdr:row>
                <xdr:rowOff>85725</xdr:rowOff>
              </from>
              <to>
                <xdr:col>6</xdr:col>
                <xdr:colOff>1390650</xdr:colOff>
                <xdr:row>14</xdr:row>
                <xdr:rowOff>142875</xdr:rowOff>
              </to>
            </anchor>
          </objectPr>
        </oleObject>
      </mc:Choice>
      <mc:Fallback>
        <oleObject progId="Visio.Drawing.11" shapeId="5132" r:id="rId6"/>
      </mc:Fallback>
    </mc:AlternateContent>
    <mc:AlternateContent xmlns:mc="http://schemas.openxmlformats.org/markup-compatibility/2006">
      <mc:Choice Requires="x14">
        <oleObject progId="Visio.Drawing.11" shapeId="5134" r:id="rId8">
          <objectPr defaultSize="0" autoPict="0" r:id="rId7">
            <anchor moveWithCells="1">
              <from>
                <xdr:col>0</xdr:col>
                <xdr:colOff>152400</xdr:colOff>
                <xdr:row>11</xdr:row>
                <xdr:rowOff>57150</xdr:rowOff>
              </from>
              <to>
                <xdr:col>0</xdr:col>
                <xdr:colOff>1457325</xdr:colOff>
                <xdr:row>14</xdr:row>
                <xdr:rowOff>114300</xdr:rowOff>
              </to>
            </anchor>
          </objectPr>
        </oleObject>
      </mc:Choice>
      <mc:Fallback>
        <oleObject progId="Visio.Drawing.11" shapeId="513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1"/>
  <sheetViews>
    <sheetView workbookViewId="0">
      <selection activeCell="B12" sqref="B12"/>
    </sheetView>
  </sheetViews>
  <sheetFormatPr defaultRowHeight="15" x14ac:dyDescent="0.25"/>
  <cols>
    <col min="1" max="1" width="19.5703125" customWidth="1"/>
    <col min="2" max="2" width="8.5703125" customWidth="1"/>
    <col min="3" max="3" width="34.140625" bestFit="1" customWidth="1"/>
    <col min="4" max="4" width="12.5703125" customWidth="1"/>
    <col min="5" max="5" width="20" customWidth="1"/>
    <col min="6" max="6" width="13" customWidth="1"/>
    <col min="7" max="7" width="24.140625" customWidth="1"/>
    <col min="9" max="9" width="14.5703125" customWidth="1"/>
    <col min="11" max="11" width="17" customWidth="1"/>
    <col min="13" max="13" width="24" customWidth="1"/>
  </cols>
  <sheetData>
    <row r="1" spans="1:8" x14ac:dyDescent="0.25">
      <c r="A1" t="s">
        <v>26</v>
      </c>
      <c r="B1" s="86">
        <v>0</v>
      </c>
      <c r="C1" t="s">
        <v>18</v>
      </c>
      <c r="D1">
        <v>0</v>
      </c>
      <c r="E1" t="s">
        <v>28</v>
      </c>
      <c r="F1">
        <v>0</v>
      </c>
      <c r="G1" t="s">
        <v>33</v>
      </c>
      <c r="H1">
        <v>0</v>
      </c>
    </row>
    <row r="2" spans="1:8" x14ac:dyDescent="0.25">
      <c r="A2" t="s">
        <v>10</v>
      </c>
      <c r="B2" s="86">
        <v>1</v>
      </c>
      <c r="C2" t="s">
        <v>19</v>
      </c>
      <c r="D2">
        <v>1</v>
      </c>
      <c r="E2" t="s">
        <v>236</v>
      </c>
      <c r="F2">
        <v>1</v>
      </c>
      <c r="G2" t="s">
        <v>30</v>
      </c>
      <c r="H2">
        <v>1</v>
      </c>
    </row>
    <row r="3" spans="1:8" x14ac:dyDescent="0.25">
      <c r="C3" t="s">
        <v>20</v>
      </c>
      <c r="D3">
        <v>2</v>
      </c>
      <c r="E3" t="s">
        <v>235</v>
      </c>
      <c r="F3">
        <v>2</v>
      </c>
      <c r="G3" t="s">
        <v>32</v>
      </c>
      <c r="H3">
        <v>2</v>
      </c>
    </row>
    <row r="4" spans="1:8" x14ac:dyDescent="0.25">
      <c r="C4" t="s">
        <v>21</v>
      </c>
      <c r="D4">
        <v>3</v>
      </c>
      <c r="E4" t="s">
        <v>29</v>
      </c>
      <c r="F4">
        <v>3</v>
      </c>
      <c r="G4" t="s">
        <v>31</v>
      </c>
      <c r="H4">
        <v>3</v>
      </c>
    </row>
    <row r="5" spans="1:8" x14ac:dyDescent="0.25">
      <c r="C5" t="s">
        <v>22</v>
      </c>
      <c r="D5">
        <v>4</v>
      </c>
    </row>
    <row r="6" spans="1:8" x14ac:dyDescent="0.25">
      <c r="C6" t="s">
        <v>23</v>
      </c>
      <c r="D6">
        <v>5</v>
      </c>
    </row>
    <row r="7" spans="1:8" x14ac:dyDescent="0.25">
      <c r="C7" t="s">
        <v>24</v>
      </c>
      <c r="D7">
        <v>6</v>
      </c>
    </row>
    <row r="8" spans="1:8" x14ac:dyDescent="0.25">
      <c r="C8" t="s">
        <v>25</v>
      </c>
      <c r="D8">
        <v>7</v>
      </c>
    </row>
    <row r="10" spans="1:8" x14ac:dyDescent="0.25">
      <c r="A10" t="s">
        <v>42</v>
      </c>
      <c r="B10" s="1">
        <v>0</v>
      </c>
      <c r="C10" t="s">
        <v>237</v>
      </c>
      <c r="D10">
        <v>0</v>
      </c>
    </row>
    <row r="11" spans="1:8" x14ac:dyDescent="0.25">
      <c r="A11" t="s">
        <v>43</v>
      </c>
      <c r="B11" s="1">
        <v>1</v>
      </c>
      <c r="C11" t="s">
        <v>44</v>
      </c>
      <c r="D11">
        <v>1</v>
      </c>
    </row>
    <row r="13" spans="1:8" x14ac:dyDescent="0.25">
      <c r="A13" t="s">
        <v>56</v>
      </c>
      <c r="B13" s="1">
        <v>0</v>
      </c>
      <c r="C13" t="s">
        <v>57</v>
      </c>
      <c r="D13">
        <v>0</v>
      </c>
      <c r="E13" t="s">
        <v>239</v>
      </c>
      <c r="F13">
        <v>0</v>
      </c>
      <c r="G13" t="s">
        <v>243</v>
      </c>
      <c r="H13">
        <v>0</v>
      </c>
    </row>
    <row r="14" spans="1:8" x14ac:dyDescent="0.25">
      <c r="A14" t="s">
        <v>59</v>
      </c>
      <c r="B14" s="1">
        <v>1</v>
      </c>
      <c r="C14" t="s">
        <v>58</v>
      </c>
      <c r="D14">
        <v>1</v>
      </c>
      <c r="E14" t="s">
        <v>240</v>
      </c>
      <c r="F14">
        <v>1</v>
      </c>
      <c r="G14" t="s">
        <v>244</v>
      </c>
      <c r="H14">
        <v>1</v>
      </c>
    </row>
    <row r="15" spans="1:8" x14ac:dyDescent="0.25">
      <c r="E15" t="s">
        <v>241</v>
      </c>
      <c r="F15">
        <v>2</v>
      </c>
      <c r="G15" t="s">
        <v>245</v>
      </c>
      <c r="H15">
        <v>2</v>
      </c>
    </row>
    <row r="16" spans="1:8" x14ac:dyDescent="0.25">
      <c r="E16" t="s">
        <v>242</v>
      </c>
      <c r="F16">
        <v>3</v>
      </c>
      <c r="G16" t="s">
        <v>246</v>
      </c>
      <c r="H16">
        <v>3</v>
      </c>
    </row>
    <row r="18" spans="1:14" x14ac:dyDescent="0.25">
      <c r="A18" t="s">
        <v>70</v>
      </c>
      <c r="B18">
        <v>0</v>
      </c>
      <c r="C18" t="s">
        <v>89</v>
      </c>
      <c r="D18" s="1">
        <v>0</v>
      </c>
      <c r="E18" t="s">
        <v>74</v>
      </c>
      <c r="F18">
        <v>0</v>
      </c>
      <c r="G18" t="s">
        <v>76</v>
      </c>
      <c r="H18">
        <v>0</v>
      </c>
      <c r="I18" t="s">
        <v>247</v>
      </c>
      <c r="J18">
        <v>0</v>
      </c>
      <c r="K18" t="s">
        <v>78</v>
      </c>
      <c r="L18">
        <v>0</v>
      </c>
      <c r="M18" t="s">
        <v>81</v>
      </c>
      <c r="N18">
        <v>0</v>
      </c>
    </row>
    <row r="19" spans="1:14" x14ac:dyDescent="0.25">
      <c r="A19" t="s">
        <v>71</v>
      </c>
      <c r="B19">
        <v>1</v>
      </c>
      <c r="C19" t="s">
        <v>73</v>
      </c>
      <c r="D19" s="1">
        <v>1</v>
      </c>
      <c r="E19" t="s">
        <v>75</v>
      </c>
      <c r="F19">
        <v>1</v>
      </c>
      <c r="G19" t="s">
        <v>77</v>
      </c>
      <c r="H19">
        <v>1</v>
      </c>
      <c r="I19" t="s">
        <v>248</v>
      </c>
      <c r="J19">
        <v>1</v>
      </c>
      <c r="K19" t="s">
        <v>79</v>
      </c>
      <c r="L19">
        <v>1</v>
      </c>
      <c r="M19" t="s">
        <v>80</v>
      </c>
      <c r="N19">
        <v>1</v>
      </c>
    </row>
    <row r="20" spans="1:14" x14ac:dyDescent="0.25">
      <c r="A20" t="s">
        <v>90</v>
      </c>
      <c r="B20">
        <v>2</v>
      </c>
    </row>
    <row r="21" spans="1:14" x14ac:dyDescent="0.25">
      <c r="A21" t="s">
        <v>72</v>
      </c>
      <c r="B21">
        <v>3</v>
      </c>
    </row>
    <row r="23" spans="1:14" x14ac:dyDescent="0.25">
      <c r="A23" t="s">
        <v>96</v>
      </c>
      <c r="B23">
        <v>0</v>
      </c>
      <c r="C23" t="s">
        <v>98</v>
      </c>
      <c r="D23">
        <v>0</v>
      </c>
      <c r="E23" t="s">
        <v>117</v>
      </c>
      <c r="F23">
        <v>0</v>
      </c>
      <c r="G23" t="s">
        <v>145</v>
      </c>
      <c r="H23">
        <v>0</v>
      </c>
    </row>
    <row r="24" spans="1:14" x14ac:dyDescent="0.25">
      <c r="A24" t="s">
        <v>97</v>
      </c>
      <c r="B24">
        <v>1</v>
      </c>
      <c r="C24" t="s">
        <v>99</v>
      </c>
      <c r="D24">
        <v>1</v>
      </c>
      <c r="E24" t="s">
        <v>118</v>
      </c>
      <c r="F24">
        <v>1</v>
      </c>
      <c r="G24" t="s">
        <v>142</v>
      </c>
      <c r="H24">
        <v>1</v>
      </c>
    </row>
    <row r="25" spans="1:14" x14ac:dyDescent="0.25">
      <c r="C25" t="s">
        <v>100</v>
      </c>
      <c r="D25">
        <v>2</v>
      </c>
      <c r="E25" t="s">
        <v>119</v>
      </c>
      <c r="F25">
        <v>2</v>
      </c>
      <c r="G25" t="s">
        <v>143</v>
      </c>
      <c r="H25">
        <v>2</v>
      </c>
    </row>
    <row r="26" spans="1:14" x14ac:dyDescent="0.25">
      <c r="C26" t="s">
        <v>101</v>
      </c>
      <c r="D26">
        <v>3</v>
      </c>
      <c r="E26" t="s">
        <v>120</v>
      </c>
      <c r="F26">
        <v>3</v>
      </c>
      <c r="G26" t="s">
        <v>144</v>
      </c>
      <c r="H26">
        <v>3</v>
      </c>
    </row>
    <row r="27" spans="1:14" x14ac:dyDescent="0.25">
      <c r="C27" t="s">
        <v>102</v>
      </c>
      <c r="D27">
        <v>4</v>
      </c>
      <c r="E27" t="s">
        <v>121</v>
      </c>
      <c r="F27">
        <v>4</v>
      </c>
    </row>
    <row r="28" spans="1:14" x14ac:dyDescent="0.25">
      <c r="C28" t="s">
        <v>103</v>
      </c>
      <c r="D28">
        <v>5</v>
      </c>
      <c r="E28" t="s">
        <v>122</v>
      </c>
      <c r="F28">
        <v>5</v>
      </c>
    </row>
    <row r="29" spans="1:14" x14ac:dyDescent="0.25">
      <c r="C29" t="s">
        <v>104</v>
      </c>
      <c r="D29">
        <v>6</v>
      </c>
      <c r="E29" t="s">
        <v>123</v>
      </c>
      <c r="F29">
        <v>6</v>
      </c>
    </row>
    <row r="30" spans="1:14" x14ac:dyDescent="0.25">
      <c r="C30" t="s">
        <v>105</v>
      </c>
      <c r="D30">
        <v>7</v>
      </c>
    </row>
    <row r="32" spans="1:14" x14ac:dyDescent="0.25">
      <c r="A32" t="s">
        <v>195</v>
      </c>
      <c r="B32">
        <v>0</v>
      </c>
      <c r="C32" t="s">
        <v>198</v>
      </c>
      <c r="D32">
        <v>0</v>
      </c>
    </row>
    <row r="33" spans="1:4" x14ac:dyDescent="0.25">
      <c r="A33" t="s">
        <v>204</v>
      </c>
      <c r="B33">
        <v>1</v>
      </c>
      <c r="C33" t="s">
        <v>205</v>
      </c>
      <c r="D33">
        <v>1</v>
      </c>
    </row>
    <row r="34" spans="1:4" x14ac:dyDescent="0.25">
      <c r="A34" t="s">
        <v>196</v>
      </c>
      <c r="B34">
        <v>2</v>
      </c>
      <c r="C34" t="s">
        <v>199</v>
      </c>
      <c r="D34">
        <v>2</v>
      </c>
    </row>
    <row r="35" spans="1:4" x14ac:dyDescent="0.25">
      <c r="A35" t="s">
        <v>197</v>
      </c>
      <c r="B35">
        <v>3</v>
      </c>
      <c r="C35" t="s">
        <v>200</v>
      </c>
      <c r="D35">
        <v>3</v>
      </c>
    </row>
    <row r="37" spans="1:4" x14ac:dyDescent="0.25">
      <c r="A37" t="s">
        <v>225</v>
      </c>
    </row>
    <row r="38" spans="1:4" x14ac:dyDescent="0.25">
      <c r="A38">
        <f>'Audio-to-Haptics'!F44</f>
        <v>0.18</v>
      </c>
      <c r="B38">
        <f>'Audio-to-Haptics'!F46*100</f>
        <v>10</v>
      </c>
    </row>
    <row r="39" spans="1:4" x14ac:dyDescent="0.25">
      <c r="A39">
        <f>'Audio-to-Haptics'!F45</f>
        <v>1.8</v>
      </c>
      <c r="B39">
        <f>'Audio-to-Haptics'!F46*100</f>
        <v>10</v>
      </c>
    </row>
    <row r="40" spans="1:4" x14ac:dyDescent="0.25">
      <c r="A40">
        <f>'Audio-to-Haptics'!F44</f>
        <v>0.18</v>
      </c>
      <c r="B40" s="61">
        <f>'Audio-to-Haptics'!F47*100</f>
        <v>100</v>
      </c>
    </row>
    <row r="41" spans="1:4" x14ac:dyDescent="0.25">
      <c r="A41">
        <f>'Audio-to-Haptics'!F45</f>
        <v>1.8</v>
      </c>
      <c r="B41" s="61">
        <f>'Audio-to-Haptics'!F47*100</f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opLeftCell="A7" zoomScaleNormal="100" workbookViewId="0">
      <selection activeCell="L36" sqref="L36"/>
    </sheetView>
  </sheetViews>
  <sheetFormatPr defaultRowHeight="15" x14ac:dyDescent="0.25"/>
  <cols>
    <col min="6" max="6" width="9.85546875" customWidth="1"/>
    <col min="11" max="11" width="9.5703125" bestFit="1" customWidth="1"/>
    <col min="12" max="12" width="9.7109375" customWidth="1"/>
    <col min="14" max="14" width="0" hidden="1" customWidth="1"/>
    <col min="16" max="16" width="10" bestFit="1" customWidth="1"/>
  </cols>
  <sheetData>
    <row r="1" spans="1:15" ht="33" customHeight="1" thickBot="1" x14ac:dyDescent="0.3">
      <c r="A1" s="54"/>
      <c r="B1" s="159" t="s">
        <v>250</v>
      </c>
      <c r="C1" s="159"/>
      <c r="D1" s="159"/>
      <c r="E1" s="159"/>
      <c r="F1" s="159"/>
      <c r="G1" s="159"/>
      <c r="H1" s="159"/>
      <c r="I1" s="159"/>
      <c r="J1" s="159"/>
      <c r="K1" s="160" t="s">
        <v>251</v>
      </c>
      <c r="L1" s="160"/>
      <c r="M1" s="160"/>
      <c r="O1" s="54"/>
    </row>
    <row r="2" spans="1:15" x14ac:dyDescent="0.25">
      <c r="A2" s="54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4"/>
      <c r="O2" s="54"/>
    </row>
    <row r="3" spans="1:15" x14ac:dyDescent="0.25">
      <c r="A3" s="54"/>
      <c r="B3" s="88" t="s">
        <v>252</v>
      </c>
      <c r="C3" s="89"/>
      <c r="D3" s="87"/>
      <c r="E3" s="90" t="s">
        <v>253</v>
      </c>
      <c r="F3" s="91"/>
      <c r="G3" s="87"/>
      <c r="H3" s="87"/>
      <c r="I3" s="87"/>
      <c r="J3" s="87"/>
      <c r="K3" s="87"/>
      <c r="L3" s="87"/>
      <c r="M3" s="54"/>
      <c r="O3" s="54"/>
    </row>
    <row r="4" spans="1:15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O4" s="54"/>
    </row>
    <row r="5" spans="1:1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O5" s="54"/>
    </row>
    <row r="6" spans="1:15" ht="18.75" x14ac:dyDescent="0.3">
      <c r="A6" s="54"/>
      <c r="B6" s="158" t="s">
        <v>254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O6" s="54"/>
    </row>
    <row r="7" spans="1:15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O7" s="54"/>
    </row>
    <row r="8" spans="1:15" ht="18" x14ac:dyDescent="0.35">
      <c r="A8" s="54"/>
      <c r="B8" s="54"/>
      <c r="C8" s="92"/>
      <c r="E8" s="93">
        <v>1.3</v>
      </c>
      <c r="F8" s="94" t="s">
        <v>255</v>
      </c>
      <c r="G8" s="54"/>
      <c r="H8" s="54"/>
      <c r="I8" s="95">
        <v>3</v>
      </c>
      <c r="J8" s="54" t="s">
        <v>256</v>
      </c>
      <c r="K8" s="54"/>
      <c r="L8" s="54"/>
      <c r="M8" s="54"/>
      <c r="N8" s="54"/>
      <c r="O8" s="54"/>
    </row>
    <row r="9" spans="1:15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1:15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5" ht="18.75" x14ac:dyDescent="0.3">
      <c r="A11" s="54"/>
      <c r="B11" s="158" t="s">
        <v>257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O11" s="54"/>
    </row>
    <row r="12" spans="1:15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O12" s="54"/>
    </row>
    <row r="13" spans="1:15" x14ac:dyDescent="0.25">
      <c r="A13" s="54"/>
      <c r="B13" s="54"/>
      <c r="C13" s="54"/>
      <c r="D13" s="54"/>
      <c r="F13" s="96">
        <v>4.8</v>
      </c>
      <c r="G13" s="94" t="s">
        <v>258</v>
      </c>
      <c r="I13" s="54"/>
      <c r="J13" s="54"/>
      <c r="K13" s="97">
        <v>75</v>
      </c>
      <c r="L13" s="98" t="s">
        <v>259</v>
      </c>
      <c r="M13" s="54"/>
      <c r="O13" s="54"/>
    </row>
    <row r="14" spans="1:15" x14ac:dyDescent="0.25">
      <c r="A14" s="99"/>
      <c r="B14" s="99"/>
      <c r="C14" s="99"/>
      <c r="D14" s="54"/>
      <c r="E14" s="99"/>
      <c r="F14" s="100" t="s">
        <v>260</v>
      </c>
      <c r="G14" s="99"/>
      <c r="H14" s="99"/>
      <c r="I14" s="99"/>
      <c r="J14" s="99"/>
      <c r="K14" s="100" t="s">
        <v>261</v>
      </c>
      <c r="L14" s="99"/>
      <c r="M14" s="99"/>
      <c r="O14" s="54"/>
    </row>
    <row r="15" spans="1:15" x14ac:dyDescent="0.25">
      <c r="A15" s="99"/>
      <c r="B15" s="99"/>
      <c r="C15" s="99"/>
      <c r="D15" s="54"/>
      <c r="F15" s="101">
        <v>75</v>
      </c>
      <c r="G15" s="98" t="s">
        <v>259</v>
      </c>
      <c r="H15" s="99"/>
      <c r="I15" s="99"/>
      <c r="J15" s="99"/>
      <c r="K15" s="99"/>
      <c r="L15" s="99"/>
      <c r="M15" s="99"/>
      <c r="O15" s="54"/>
    </row>
    <row r="16" spans="1:15" x14ac:dyDescent="0.25">
      <c r="A16" s="99"/>
      <c r="B16" s="99"/>
      <c r="C16" s="99"/>
      <c r="D16" s="54"/>
      <c r="E16" s="99"/>
      <c r="F16" s="100" t="s">
        <v>261</v>
      </c>
      <c r="G16" s="99"/>
      <c r="H16" s="99"/>
      <c r="I16" s="99"/>
      <c r="J16" s="99"/>
      <c r="K16" s="99"/>
      <c r="L16" s="99"/>
      <c r="M16" s="99"/>
      <c r="O16" s="54"/>
    </row>
    <row r="17" spans="1:15" x14ac:dyDescent="0.25">
      <c r="A17" s="99"/>
      <c r="B17" s="99"/>
      <c r="C17" s="99"/>
      <c r="D17" s="54"/>
      <c r="E17" s="99"/>
      <c r="F17" s="100"/>
      <c r="G17" s="99"/>
      <c r="H17" s="99"/>
      <c r="I17" s="99"/>
      <c r="J17" s="99"/>
      <c r="K17" s="99"/>
      <c r="L17" s="99"/>
      <c r="M17" s="99"/>
      <c r="O17" s="54"/>
    </row>
    <row r="18" spans="1:15" ht="18.75" x14ac:dyDescent="0.3">
      <c r="A18" s="99"/>
      <c r="B18" s="158" t="s">
        <v>262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O18" s="54"/>
    </row>
    <row r="19" spans="1:15" x14ac:dyDescent="0.25">
      <c r="A19" s="99"/>
      <c r="B19" s="99"/>
      <c r="C19" s="99"/>
      <c r="D19" s="54"/>
      <c r="E19" s="99"/>
      <c r="F19" s="102"/>
      <c r="G19" s="99"/>
      <c r="H19" s="99"/>
      <c r="I19" s="99"/>
      <c r="J19" s="99"/>
      <c r="K19" s="99"/>
      <c r="L19" s="99"/>
      <c r="M19" s="99"/>
      <c r="O19" s="54"/>
    </row>
    <row r="20" spans="1:15" x14ac:dyDescent="0.25">
      <c r="A20" s="99"/>
      <c r="B20" s="99"/>
      <c r="C20" s="99"/>
      <c r="D20" s="54"/>
      <c r="E20" s="54"/>
      <c r="F20" s="103">
        <f>ratedvoltage</f>
        <v>62</v>
      </c>
      <c r="G20" s="54" t="s">
        <v>263</v>
      </c>
      <c r="H20" s="54"/>
      <c r="I20" s="99"/>
      <c r="J20" s="99"/>
      <c r="K20" s="99"/>
      <c r="L20" s="103">
        <f>overdrivevoltage</f>
        <v>155</v>
      </c>
      <c r="M20" s="54" t="s">
        <v>263</v>
      </c>
      <c r="O20" s="54"/>
    </row>
    <row r="21" spans="1:15" x14ac:dyDescent="0.25">
      <c r="A21" s="99"/>
      <c r="B21" s="161" t="s">
        <v>264</v>
      </c>
      <c r="C21" s="161"/>
      <c r="D21" s="104"/>
      <c r="E21" s="54"/>
      <c r="F21" s="105" t="str">
        <f>DEC2HEX(ratedvoltage)</f>
        <v>3E</v>
      </c>
      <c r="G21" s="54" t="s">
        <v>265</v>
      </c>
      <c r="H21" s="54"/>
      <c r="I21" s="106" t="s">
        <v>266</v>
      </c>
      <c r="J21" s="99"/>
      <c r="K21" s="99"/>
      <c r="L21" s="105" t="str">
        <f>L53</f>
        <v>9B</v>
      </c>
      <c r="M21" s="54" t="s">
        <v>265</v>
      </c>
      <c r="O21" s="54"/>
    </row>
    <row r="22" spans="1:15" x14ac:dyDescent="0.25">
      <c r="A22" s="99"/>
      <c r="B22" s="99"/>
      <c r="C22" s="99"/>
      <c r="D22" s="54"/>
      <c r="E22" s="54"/>
      <c r="F22" s="105" t="str">
        <f>DEC2BIN(ratedvoltage,8)</f>
        <v>00111110</v>
      </c>
      <c r="G22" s="54" t="s">
        <v>267</v>
      </c>
      <c r="H22" s="54"/>
      <c r="I22" s="99"/>
      <c r="J22" s="99"/>
      <c r="K22" s="99"/>
      <c r="L22" s="105" t="str">
        <f>L54</f>
        <v>10011011</v>
      </c>
      <c r="M22" s="54" t="s">
        <v>267</v>
      </c>
      <c r="O22" s="54"/>
    </row>
    <row r="23" spans="1:15" x14ac:dyDescent="0.25">
      <c r="A23" s="99"/>
      <c r="B23" s="99"/>
      <c r="C23" s="99"/>
      <c r="D23" s="54"/>
      <c r="E23" s="99"/>
      <c r="F23" s="102"/>
      <c r="G23" s="99"/>
      <c r="H23" s="99"/>
      <c r="I23" s="99"/>
      <c r="J23" s="99"/>
      <c r="K23" s="99"/>
      <c r="L23" s="99"/>
      <c r="M23" s="99"/>
      <c r="O23" s="54"/>
    </row>
    <row r="24" spans="1:15" x14ac:dyDescent="0.25">
      <c r="A24" s="99"/>
      <c r="B24" s="99"/>
      <c r="C24" s="99"/>
      <c r="D24" s="54"/>
      <c r="E24" s="99"/>
      <c r="F24" s="102"/>
      <c r="G24" s="99"/>
      <c r="H24" s="99"/>
      <c r="I24" s="54"/>
      <c r="J24" s="54"/>
      <c r="K24" s="54"/>
      <c r="L24" s="54"/>
      <c r="M24" s="54"/>
      <c r="O24" s="54"/>
    </row>
    <row r="25" spans="1:15" x14ac:dyDescent="0.25">
      <c r="A25" s="99"/>
      <c r="B25" s="99"/>
      <c r="C25" s="99"/>
      <c r="D25" s="54"/>
      <c r="E25" s="99"/>
      <c r="F25" s="102"/>
      <c r="G25" s="99"/>
      <c r="H25" s="99"/>
      <c r="I25" s="54"/>
      <c r="J25" s="54"/>
      <c r="K25" s="54"/>
      <c r="L25" s="103">
        <f>L64</f>
        <v>137</v>
      </c>
      <c r="M25" s="54" t="s">
        <v>263</v>
      </c>
      <c r="O25" s="54"/>
    </row>
    <row r="26" spans="1:15" x14ac:dyDescent="0.25">
      <c r="A26" s="99"/>
      <c r="B26" s="99"/>
      <c r="C26" s="99"/>
      <c r="D26" s="54"/>
      <c r="E26" s="99"/>
      <c r="F26" s="102"/>
      <c r="G26" s="99"/>
      <c r="H26" s="99"/>
      <c r="I26" s="107" t="s">
        <v>268</v>
      </c>
      <c r="J26" s="54"/>
      <c r="K26" s="54"/>
      <c r="L26" s="105" t="str">
        <f>L65</f>
        <v>89</v>
      </c>
      <c r="M26" s="54" t="s">
        <v>265</v>
      </c>
      <c r="O26" s="54"/>
    </row>
    <row r="27" spans="1:15" x14ac:dyDescent="0.25">
      <c r="A27" s="99"/>
      <c r="B27" s="99"/>
      <c r="C27" s="99"/>
      <c r="D27" s="54"/>
      <c r="E27" s="99"/>
      <c r="F27" s="102"/>
      <c r="G27" s="99"/>
      <c r="H27" s="99"/>
      <c r="I27" s="54"/>
      <c r="J27" s="54"/>
      <c r="K27" s="54"/>
      <c r="L27" s="105" t="str">
        <f>L66</f>
        <v>10001001</v>
      </c>
      <c r="M27" s="54" t="s">
        <v>267</v>
      </c>
      <c r="O27" s="54"/>
    </row>
    <row r="28" spans="1:15" x14ac:dyDescent="0.25">
      <c r="A28" s="99"/>
      <c r="B28" s="99"/>
      <c r="C28" s="99"/>
      <c r="D28" s="54"/>
      <c r="E28" s="99"/>
      <c r="F28" s="102"/>
      <c r="G28" s="99"/>
      <c r="H28" s="99"/>
      <c r="I28" s="99"/>
      <c r="J28" s="99"/>
      <c r="K28" s="99"/>
      <c r="L28" s="99"/>
      <c r="M28" s="99"/>
      <c r="O28" s="54"/>
    </row>
    <row r="29" spans="1:15" ht="18.75" x14ac:dyDescent="0.3">
      <c r="A29" s="54"/>
      <c r="B29" s="158" t="s">
        <v>269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O29" s="54"/>
    </row>
    <row r="30" spans="1:15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O30" s="54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O31" s="54"/>
    </row>
    <row r="32" spans="1:15" ht="18" x14ac:dyDescent="0.35">
      <c r="A32" s="54"/>
      <c r="B32" s="54"/>
      <c r="C32" s="54"/>
      <c r="D32" s="54"/>
      <c r="E32" s="108">
        <f>erm_ratedvoltage</f>
        <v>1.3</v>
      </c>
      <c r="F32" s="54" t="s">
        <v>270</v>
      </c>
      <c r="G32" s="54"/>
      <c r="I32" s="54"/>
      <c r="J32" s="54"/>
      <c r="K32" s="54"/>
      <c r="L32" s="54"/>
      <c r="M32" s="54"/>
      <c r="O32" s="54"/>
    </row>
    <row r="33" spans="1:1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O33" s="54"/>
    </row>
    <row r="34" spans="1:1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O34" s="54"/>
    </row>
    <row r="35" spans="1:15" x14ac:dyDescent="0.25">
      <c r="A35" s="54"/>
      <c r="B35" s="54"/>
      <c r="C35" s="54"/>
      <c r="D35" s="54"/>
      <c r="E35" s="54"/>
      <c r="F35" s="54"/>
      <c r="H35" s="54"/>
      <c r="I35" s="54"/>
      <c r="J35" s="54"/>
      <c r="K35" s="54"/>
      <c r="L35" s="103">
        <f>ROUND(E32*255*(1.045)/5.6,0)</f>
        <v>62</v>
      </c>
      <c r="M35" s="54" t="s">
        <v>263</v>
      </c>
      <c r="O35" s="54"/>
    </row>
    <row r="36" spans="1:15" x14ac:dyDescent="0.25">
      <c r="A36" s="54"/>
      <c r="B36" s="54"/>
      <c r="C36" s="54"/>
      <c r="D36" s="54"/>
      <c r="E36" s="54"/>
      <c r="F36" s="54"/>
      <c r="G36" s="54"/>
      <c r="H36" s="54"/>
      <c r="J36" s="54"/>
      <c r="K36" s="54"/>
      <c r="L36" s="105" t="str">
        <f>DEC2HEX(ratedvoltage)</f>
        <v>3E</v>
      </c>
      <c r="M36" s="54" t="s">
        <v>265</v>
      </c>
      <c r="O36" s="54"/>
    </row>
    <row r="37" spans="1:1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105" t="str">
        <f>DEC2BIN(ratedvoltage,8)</f>
        <v>00111110</v>
      </c>
      <c r="M37" s="54" t="s">
        <v>267</v>
      </c>
      <c r="O37" s="54"/>
    </row>
    <row r="38" spans="1:1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O38" s="54"/>
    </row>
    <row r="39" spans="1:1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M39" s="109" t="s">
        <v>271</v>
      </c>
      <c r="O39" s="54"/>
    </row>
    <row r="40" spans="1:15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O40" s="54"/>
    </row>
    <row r="41" spans="1:15" ht="18.75" x14ac:dyDescent="0.3">
      <c r="A41" s="54"/>
      <c r="B41" s="158" t="s">
        <v>272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O41" s="54"/>
    </row>
    <row r="42" spans="1:1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O42" s="54"/>
    </row>
    <row r="43" spans="1:15" x14ac:dyDescent="0.25">
      <c r="A43" s="54"/>
      <c r="B43" s="54"/>
      <c r="C43" s="54"/>
      <c r="D43" s="110"/>
      <c r="E43" s="111"/>
      <c r="F43" s="94"/>
      <c r="G43" s="54"/>
      <c r="H43" s="54"/>
      <c r="I43" s="54"/>
      <c r="J43" s="54"/>
      <c r="K43" s="54"/>
      <c r="L43" s="54"/>
      <c r="M43" s="54"/>
      <c r="O43" s="54"/>
    </row>
    <row r="44" spans="1:15" ht="18" x14ac:dyDescent="0.35">
      <c r="A44" s="54"/>
      <c r="B44" s="54"/>
      <c r="C44" s="54"/>
      <c r="D44" s="112">
        <f>overdrive</f>
        <v>3</v>
      </c>
      <c r="E44" s="54" t="s">
        <v>270</v>
      </c>
      <c r="F44" s="54"/>
      <c r="G44" s="54"/>
      <c r="H44" s="54"/>
      <c r="I44" s="54"/>
      <c r="J44" s="54"/>
      <c r="K44" s="54"/>
      <c r="L44" s="54"/>
      <c r="M44" s="54"/>
      <c r="O44" s="54"/>
    </row>
    <row r="45" spans="1:15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O45" s="54"/>
    </row>
    <row r="46" spans="1:15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O46" s="54"/>
    </row>
    <row r="47" spans="1:1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113">
        <f>D44*(drivetime*(0.001)+idisstime*0.000001+blankingtime*0.000001)/(drivetime*0.001-0.0003)</f>
        <v>3.3000000000000007</v>
      </c>
      <c r="M47" s="54"/>
      <c r="O47" s="54"/>
    </row>
    <row r="48" spans="1:1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O48" s="54"/>
    </row>
    <row r="49" spans="1:18" x14ac:dyDescent="0.25">
      <c r="A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O49" s="54"/>
    </row>
    <row r="50" spans="1:18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O50" s="54"/>
    </row>
    <row r="51" spans="1:18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O51" s="54"/>
      <c r="R51" s="114"/>
    </row>
    <row r="52" spans="1:18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103">
        <f>ROUND(L47*255*1.03/5.6,0)</f>
        <v>155</v>
      </c>
      <c r="M52" s="54" t="s">
        <v>263</v>
      </c>
      <c r="O52" s="54"/>
    </row>
    <row r="53" spans="1:18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105" t="str">
        <f>DEC2HEX(overdrivevoltage)</f>
        <v>9B</v>
      </c>
      <c r="M53" s="54" t="s">
        <v>265</v>
      </c>
      <c r="O53" s="54"/>
    </row>
    <row r="54" spans="1:18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105" t="str">
        <f>DEC2BIN(overdrivevoltage,8)</f>
        <v>10011011</v>
      </c>
      <c r="M54" s="54" t="s">
        <v>267</v>
      </c>
      <c r="O54" s="54"/>
    </row>
    <row r="55" spans="1:18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O55" s="54"/>
    </row>
    <row r="56" spans="1:18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M56" s="109" t="s">
        <v>273</v>
      </c>
      <c r="O56" s="54"/>
    </row>
    <row r="57" spans="1:18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O57" s="54"/>
    </row>
    <row r="58" spans="1:18" ht="18.75" x14ac:dyDescent="0.3">
      <c r="A58" s="54"/>
      <c r="B58" s="158" t="s">
        <v>274</v>
      </c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O58" s="54"/>
    </row>
    <row r="59" spans="1:18" x14ac:dyDescent="0.25">
      <c r="A59" s="54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O59" s="54"/>
    </row>
    <row r="60" spans="1:18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O60" s="54"/>
    </row>
    <row r="61" spans="1:18" ht="18" x14ac:dyDescent="0.35">
      <c r="A61" s="54"/>
      <c r="B61" s="54"/>
      <c r="D61" s="108">
        <f>overdrive</f>
        <v>3</v>
      </c>
      <c r="E61" s="54" t="s">
        <v>270</v>
      </c>
      <c r="F61" s="54"/>
      <c r="G61" s="54"/>
      <c r="H61" s="54"/>
      <c r="I61" s="54"/>
      <c r="J61" s="54"/>
      <c r="K61" s="54"/>
      <c r="L61" s="54"/>
      <c r="M61" s="54"/>
      <c r="O61" s="54"/>
    </row>
    <row r="62" spans="1:18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O62" s="54"/>
    </row>
    <row r="63" spans="1:18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O63" s="54"/>
    </row>
    <row r="64" spans="1:18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103">
        <f>ROUND(D61*255/5.6,0)</f>
        <v>137</v>
      </c>
      <c r="M64" s="54" t="s">
        <v>263</v>
      </c>
      <c r="O64" s="54"/>
    </row>
    <row r="65" spans="1:15" x14ac:dyDescent="0.25">
      <c r="A65" s="54"/>
      <c r="B65" s="54"/>
      <c r="C65" s="54"/>
      <c r="D65" s="54"/>
      <c r="E65" s="54"/>
      <c r="F65" s="54"/>
      <c r="G65" s="54"/>
      <c r="H65" s="54"/>
      <c r="J65" s="54"/>
      <c r="K65" s="54"/>
      <c r="L65" s="105" t="str">
        <f>DEC2HEX(L64)</f>
        <v>89</v>
      </c>
      <c r="M65" s="54" t="s">
        <v>265</v>
      </c>
      <c r="O65" s="54"/>
    </row>
    <row r="66" spans="1:1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105" t="str">
        <f>DEC2BIN(L64,8)</f>
        <v>10001001</v>
      </c>
      <c r="M66" s="54" t="s">
        <v>267</v>
      </c>
      <c r="O66" s="54"/>
    </row>
    <row r="67" spans="1:1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O67" s="54"/>
    </row>
    <row r="68" spans="1:1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109" t="s">
        <v>273</v>
      </c>
      <c r="N68" s="54"/>
      <c r="O68" s="54"/>
    </row>
    <row r="69" spans="1:1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</row>
  </sheetData>
  <sheetProtection sheet="1" objects="1" scenarios="1"/>
  <mergeCells count="9">
    <mergeCell ref="B29:M29"/>
    <mergeCell ref="B41:M41"/>
    <mergeCell ref="B58:M58"/>
    <mergeCell ref="B1:J1"/>
    <mergeCell ref="K1:M1"/>
    <mergeCell ref="B6:M6"/>
    <mergeCell ref="B11:M11"/>
    <mergeCell ref="B18:M18"/>
    <mergeCell ref="B21:C21"/>
  </mergeCells>
  <dataValidations count="2">
    <dataValidation type="list" allowBlank="1" showInputMessage="1" showErrorMessage="1" sqref="F15">
      <formula1>ds_blankingtime_list</formula1>
    </dataValidation>
    <dataValidation type="list" allowBlank="1" showInputMessage="1" showErrorMessage="1" sqref="K13">
      <formula1>ds_blankingtime_list</formula1>
    </dataValidation>
  </dataValidations>
  <pageMargins left="0.2" right="0.2" top="0.5" bottom="0.5" header="0.3" footer="0.3"/>
  <pageSetup scale="86" fitToHeight="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zoomScaleNormal="100" workbookViewId="0">
      <selection activeCell="F14" sqref="F14"/>
    </sheetView>
  </sheetViews>
  <sheetFormatPr defaultRowHeight="15" x14ac:dyDescent="0.25"/>
  <cols>
    <col min="6" max="6" width="9.85546875" customWidth="1"/>
    <col min="11" max="11" width="9.5703125" bestFit="1" customWidth="1"/>
    <col min="12" max="12" width="9.7109375" customWidth="1"/>
    <col min="14" max="14" width="0" hidden="1" customWidth="1"/>
    <col min="16" max="16" width="10" bestFit="1" customWidth="1"/>
  </cols>
  <sheetData>
    <row r="1" spans="1:15" ht="33" customHeight="1" thickBot="1" x14ac:dyDescent="0.3">
      <c r="A1" s="54"/>
      <c r="B1" s="159" t="s">
        <v>275</v>
      </c>
      <c r="C1" s="159"/>
      <c r="D1" s="159"/>
      <c r="E1" s="159"/>
      <c r="F1" s="159"/>
      <c r="G1" s="159"/>
      <c r="H1" s="159"/>
      <c r="I1" s="159"/>
      <c r="J1" s="159"/>
      <c r="K1" s="160" t="s">
        <v>251</v>
      </c>
      <c r="L1" s="160"/>
      <c r="M1" s="160"/>
      <c r="O1" s="54"/>
    </row>
    <row r="2" spans="1:15" x14ac:dyDescent="0.25">
      <c r="A2" s="54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4"/>
      <c r="O2" s="54"/>
    </row>
    <row r="3" spans="1:15" x14ac:dyDescent="0.25">
      <c r="A3" s="54"/>
      <c r="B3" s="88" t="s">
        <v>252</v>
      </c>
      <c r="C3" s="89"/>
      <c r="D3" s="87"/>
      <c r="E3" s="90" t="s">
        <v>253</v>
      </c>
      <c r="F3" s="91"/>
      <c r="G3" s="87"/>
      <c r="H3" s="87"/>
      <c r="I3" s="87"/>
      <c r="J3" s="87"/>
      <c r="K3" s="87"/>
      <c r="L3" s="87"/>
      <c r="M3" s="54"/>
      <c r="O3" s="54"/>
    </row>
    <row r="4" spans="1:15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O4" s="54"/>
    </row>
    <row r="5" spans="1:1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O5" s="54"/>
    </row>
    <row r="6" spans="1:15" ht="18.75" x14ac:dyDescent="0.3">
      <c r="A6" s="54"/>
      <c r="B6" s="158" t="s">
        <v>254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O6" s="54"/>
    </row>
    <row r="7" spans="1:15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O7" s="54"/>
    </row>
    <row r="8" spans="1:15" ht="18" x14ac:dyDescent="0.35">
      <c r="A8" s="54"/>
      <c r="C8" s="92"/>
      <c r="D8" s="93">
        <v>175</v>
      </c>
      <c r="E8" s="54" t="s">
        <v>276</v>
      </c>
      <c r="F8" s="92"/>
      <c r="H8" s="93">
        <v>2</v>
      </c>
      <c r="I8" s="94" t="s">
        <v>277</v>
      </c>
      <c r="J8" s="54"/>
      <c r="K8" s="54"/>
      <c r="L8" s="95">
        <v>3</v>
      </c>
      <c r="M8" s="54" t="s">
        <v>256</v>
      </c>
      <c r="O8" s="54"/>
    </row>
    <row r="9" spans="1:15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O9" s="54"/>
    </row>
    <row r="10" spans="1:15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O10" s="54"/>
    </row>
    <row r="11" spans="1:15" ht="18.75" x14ac:dyDescent="0.3">
      <c r="A11" s="54"/>
      <c r="B11" s="158" t="s">
        <v>257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O11" s="54"/>
    </row>
    <row r="12" spans="1:15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O12" s="54"/>
    </row>
    <row r="13" spans="1:15" x14ac:dyDescent="0.25">
      <c r="A13" s="54"/>
      <c r="B13" s="54"/>
      <c r="C13" s="54"/>
      <c r="D13" s="54"/>
      <c r="E13" s="54"/>
      <c r="F13" s="96">
        <v>300</v>
      </c>
      <c r="G13" s="94" t="s">
        <v>278</v>
      </c>
      <c r="H13" s="54"/>
      <c r="I13" s="54"/>
      <c r="J13" s="54"/>
      <c r="K13" s="54"/>
      <c r="L13" s="54"/>
      <c r="M13" s="54"/>
      <c r="O13" s="54"/>
    </row>
    <row r="14" spans="1:15" x14ac:dyDescent="0.25">
      <c r="A14" s="99"/>
      <c r="B14" s="99"/>
      <c r="C14" s="99"/>
      <c r="D14" s="54"/>
      <c r="E14" s="99"/>
      <c r="F14" s="104" t="s">
        <v>279</v>
      </c>
      <c r="G14" s="99"/>
      <c r="H14" s="99"/>
      <c r="I14" s="99"/>
      <c r="J14" s="99"/>
      <c r="K14" s="99"/>
      <c r="L14" s="99"/>
      <c r="M14" s="99"/>
      <c r="O14" s="54"/>
    </row>
    <row r="15" spans="1:15" x14ac:dyDescent="0.25">
      <c r="A15" s="99"/>
      <c r="B15" s="99"/>
      <c r="C15" s="99"/>
      <c r="D15" s="54"/>
      <c r="E15" s="99"/>
      <c r="F15" s="104"/>
      <c r="G15" s="99"/>
      <c r="H15" s="99"/>
      <c r="I15" s="99"/>
      <c r="J15" s="99"/>
      <c r="K15" s="99"/>
      <c r="L15" s="99"/>
      <c r="M15" s="99"/>
      <c r="O15" s="54"/>
    </row>
    <row r="16" spans="1:15" ht="18.75" x14ac:dyDescent="0.3">
      <c r="A16" s="99"/>
      <c r="B16" s="158" t="s">
        <v>262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O16" s="54"/>
    </row>
    <row r="17" spans="1:15" x14ac:dyDescent="0.25">
      <c r="A17" s="99"/>
      <c r="B17" s="99"/>
      <c r="C17" s="99"/>
      <c r="D17" s="54"/>
      <c r="E17" s="99"/>
      <c r="F17" s="102"/>
      <c r="G17" s="99"/>
      <c r="H17" s="99"/>
      <c r="I17" s="99"/>
      <c r="J17" s="99"/>
      <c r="K17" s="99"/>
      <c r="L17" s="99"/>
      <c r="M17" s="99"/>
      <c r="O17" s="54"/>
    </row>
    <row r="18" spans="1:15" x14ac:dyDescent="0.25">
      <c r="A18" s="99"/>
      <c r="B18" s="99"/>
      <c r="C18" s="99"/>
      <c r="D18" s="54"/>
      <c r="E18" s="54"/>
      <c r="F18" s="103">
        <f>lra_ratedvoltage</f>
        <v>83</v>
      </c>
      <c r="G18" s="54" t="s">
        <v>263</v>
      </c>
      <c r="H18" s="54"/>
      <c r="I18" s="99"/>
      <c r="J18" s="99"/>
      <c r="K18" s="99"/>
      <c r="L18" s="103">
        <f>lra_overdrivevoltage</f>
        <v>137</v>
      </c>
      <c r="M18" s="54" t="s">
        <v>263</v>
      </c>
      <c r="O18" s="54"/>
    </row>
    <row r="19" spans="1:15" x14ac:dyDescent="0.25">
      <c r="A19" s="99"/>
      <c r="B19" s="162" t="s">
        <v>266</v>
      </c>
      <c r="C19" s="162"/>
      <c r="D19" s="104"/>
      <c r="E19" s="54"/>
      <c r="F19" s="105" t="str">
        <f>DEC2HEX(lra_ratedvoltage)</f>
        <v>53</v>
      </c>
      <c r="G19" s="54" t="s">
        <v>265</v>
      </c>
      <c r="H19" s="54"/>
      <c r="I19" s="115" t="s">
        <v>266</v>
      </c>
      <c r="J19" s="99"/>
      <c r="K19" s="99"/>
      <c r="L19" s="105" t="str">
        <f>DEC2HEX(lra_overdrivevoltage)</f>
        <v>89</v>
      </c>
      <c r="M19" s="54" t="s">
        <v>265</v>
      </c>
      <c r="O19" s="54"/>
    </row>
    <row r="20" spans="1:15" x14ac:dyDescent="0.25">
      <c r="A20" s="99"/>
      <c r="B20" s="99"/>
      <c r="C20" s="99"/>
      <c r="D20" s="54"/>
      <c r="E20" s="54"/>
      <c r="F20" s="105" t="str">
        <f>DEC2BIN(lra_ratedvoltage,8)</f>
        <v>01010011</v>
      </c>
      <c r="G20" s="54" t="s">
        <v>267</v>
      </c>
      <c r="H20" s="54"/>
      <c r="I20" s="99"/>
      <c r="J20" s="99"/>
      <c r="K20" s="99"/>
      <c r="L20" s="105" t="str">
        <f>DEC2BIN(lra_overdrivevoltage,8)</f>
        <v>10001001</v>
      </c>
      <c r="M20" s="54" t="s">
        <v>267</v>
      </c>
      <c r="O20" s="54"/>
    </row>
    <row r="21" spans="1:15" x14ac:dyDescent="0.25">
      <c r="A21" s="99"/>
      <c r="B21" s="99"/>
      <c r="C21" s="99"/>
      <c r="D21" s="54"/>
      <c r="E21" s="99"/>
      <c r="F21" s="102"/>
      <c r="G21" s="99"/>
      <c r="H21" s="99"/>
      <c r="I21" s="99"/>
      <c r="J21" s="99"/>
      <c r="K21" s="99"/>
      <c r="L21" s="99"/>
      <c r="M21" s="99"/>
      <c r="O21" s="54"/>
    </row>
    <row r="22" spans="1:15" x14ac:dyDescent="0.25">
      <c r="A22" s="99"/>
      <c r="B22" s="99"/>
      <c r="C22" s="99"/>
      <c r="D22" s="54"/>
      <c r="E22" s="99"/>
      <c r="F22" s="102"/>
      <c r="G22" s="99"/>
      <c r="H22" s="99"/>
      <c r="I22" s="99"/>
      <c r="J22" s="99"/>
      <c r="K22" s="99"/>
      <c r="L22" s="99"/>
      <c r="M22" s="99"/>
      <c r="O22" s="54"/>
    </row>
    <row r="23" spans="1:15" ht="18.75" x14ac:dyDescent="0.3">
      <c r="A23" s="54"/>
      <c r="B23" s="158" t="s">
        <v>269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O23" s="54"/>
    </row>
    <row r="24" spans="1:15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O24" s="54"/>
    </row>
    <row r="25" spans="1:1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O25" s="54"/>
    </row>
    <row r="26" spans="1:1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O26" s="54"/>
    </row>
    <row r="27" spans="1:1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116">
        <f>vrms*SQRT(1-(4*sampletime*0.000001+0.0003)*f_actuator)</f>
        <v>1.7175564037317668</v>
      </c>
      <c r="M27" s="54" t="s">
        <v>280</v>
      </c>
      <c r="O27" s="54"/>
    </row>
    <row r="28" spans="1:1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O28" s="54"/>
    </row>
    <row r="29" spans="1:1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O29" s="54"/>
    </row>
    <row r="30" spans="1:1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O30" s="54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O31" s="54"/>
    </row>
    <row r="32" spans="1:1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O32" s="54"/>
    </row>
    <row r="33" spans="1:15" x14ac:dyDescent="0.25">
      <c r="A33" s="54"/>
      <c r="D33" s="54"/>
      <c r="E33" s="54"/>
      <c r="F33" s="54"/>
      <c r="H33" s="54"/>
      <c r="I33" s="54"/>
      <c r="J33" s="54"/>
      <c r="K33" s="54"/>
      <c r="L33" s="103">
        <f>ROUND(L27*255*(1.06)/5.6,0)</f>
        <v>83</v>
      </c>
      <c r="M33" s="54" t="s">
        <v>263</v>
      </c>
      <c r="O33" s="54"/>
    </row>
    <row r="34" spans="1:15" x14ac:dyDescent="0.25">
      <c r="A34" s="54"/>
      <c r="B34" s="54"/>
      <c r="C34" s="54"/>
      <c r="D34" s="54"/>
      <c r="E34" s="54"/>
      <c r="F34" s="54"/>
      <c r="G34" s="54"/>
      <c r="H34" s="54"/>
      <c r="J34" s="54"/>
      <c r="K34" s="54"/>
      <c r="L34" s="105" t="str">
        <f>DEC2HEX(lra_ratedvoltage)</f>
        <v>53</v>
      </c>
      <c r="M34" s="54" t="s">
        <v>265</v>
      </c>
      <c r="O34" s="54"/>
    </row>
    <row r="35" spans="1:1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105" t="str">
        <f>DEC2BIN(lra_ratedvoltage,8)</f>
        <v>01010011</v>
      </c>
      <c r="M35" s="54" t="s">
        <v>267</v>
      </c>
      <c r="O35" s="54"/>
    </row>
    <row r="36" spans="1:1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O36" s="54"/>
    </row>
    <row r="37" spans="1:1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M37" s="109" t="s">
        <v>271</v>
      </c>
      <c r="O37" s="54"/>
    </row>
    <row r="38" spans="1:1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O38" s="54"/>
    </row>
    <row r="39" spans="1:1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O39" s="54"/>
    </row>
    <row r="40" spans="1:15" ht="18.75" x14ac:dyDescent="0.3">
      <c r="A40" s="54"/>
      <c r="B40" s="158" t="s">
        <v>272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O40" s="54"/>
    </row>
    <row r="41" spans="1:15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O41" s="54"/>
    </row>
    <row r="42" spans="1:15" x14ac:dyDescent="0.25">
      <c r="A42" s="54"/>
      <c r="B42" s="54"/>
      <c r="C42" s="54"/>
      <c r="D42" s="110"/>
      <c r="E42" s="111"/>
      <c r="F42" s="94"/>
      <c r="G42" s="54"/>
      <c r="H42" s="54"/>
      <c r="I42" s="54"/>
      <c r="J42" s="54"/>
      <c r="K42" s="54"/>
      <c r="L42" s="54"/>
      <c r="M42" s="54"/>
      <c r="O42" s="54"/>
    </row>
    <row r="43" spans="1:15" ht="18" x14ac:dyDescent="0.35">
      <c r="A43" s="54"/>
      <c r="C43" s="116">
        <f>L8</f>
        <v>3</v>
      </c>
      <c r="D43" s="54" t="s">
        <v>281</v>
      </c>
      <c r="E43" s="54"/>
      <c r="F43" s="54"/>
      <c r="G43" s="54"/>
      <c r="H43" s="54"/>
      <c r="I43" s="54"/>
      <c r="J43" s="54"/>
      <c r="K43" s="54"/>
      <c r="L43" s="54"/>
      <c r="M43" s="54"/>
      <c r="O43" s="54"/>
    </row>
    <row r="44" spans="1:1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O44" s="54"/>
    </row>
    <row r="45" spans="1:15" x14ac:dyDescent="0.25">
      <c r="A45" s="54"/>
      <c r="B45" s="54"/>
      <c r="C45" s="54"/>
      <c r="D45" s="54"/>
      <c r="E45" s="54"/>
      <c r="G45" s="54"/>
      <c r="H45" s="54"/>
      <c r="I45" s="54"/>
      <c r="J45" s="54"/>
      <c r="K45" s="54"/>
      <c r="L45" s="54"/>
      <c r="M45" s="54"/>
      <c r="O45" s="54"/>
    </row>
    <row r="46" spans="1:15" x14ac:dyDescent="0.25">
      <c r="A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O46" s="54"/>
    </row>
    <row r="47" spans="1:1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103">
        <f>ROUND(C43*255/5.6,0)</f>
        <v>137</v>
      </c>
      <c r="M47" s="54" t="s">
        <v>263</v>
      </c>
      <c r="O47" s="54"/>
    </row>
    <row r="48" spans="1:1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105" t="str">
        <f>DEC2HEX(lra_overdrivevoltage)</f>
        <v>89</v>
      </c>
      <c r="M48" s="54" t="s">
        <v>265</v>
      </c>
      <c r="O48" s="54"/>
    </row>
    <row r="49" spans="1:1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105" t="str">
        <f>DEC2BIN(lra_overdrivevoltage,8)</f>
        <v>10001001</v>
      </c>
      <c r="M49" s="54" t="s">
        <v>267</v>
      </c>
      <c r="O49" s="54"/>
    </row>
    <row r="50" spans="1:1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O50" s="54"/>
    </row>
    <row r="51" spans="1:1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M51" s="109" t="s">
        <v>273</v>
      </c>
      <c r="O51" s="54"/>
    </row>
    <row r="52" spans="1:1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O52" s="54"/>
    </row>
  </sheetData>
  <sheetProtection sheet="1" objects="1" scenarios="1"/>
  <mergeCells count="8">
    <mergeCell ref="B23:M23"/>
    <mergeCell ref="B40:M40"/>
    <mergeCell ref="B1:J1"/>
    <mergeCell ref="K1:M1"/>
    <mergeCell ref="B6:M6"/>
    <mergeCell ref="B11:M11"/>
    <mergeCell ref="B16:M16"/>
    <mergeCell ref="B19:C19"/>
  </mergeCells>
  <dataValidations disablePrompts="1" count="1">
    <dataValidation type="list" allowBlank="1" showInputMessage="1" showErrorMessage="1" sqref="F13">
      <formula1>ds_autoresgain_list</formula1>
    </dataValidation>
  </dataValidations>
  <pageMargins left="0.2" right="0.2" top="0.5" bottom="0.5" header="0.3" footer="0.3"/>
  <pageSetup scale="86" fitToHeight="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defaultRowHeight="15" x14ac:dyDescent="0.25"/>
  <sheetData>
    <row r="1" spans="1:3" x14ac:dyDescent="0.25">
      <c r="A1">
        <v>150</v>
      </c>
      <c r="C1">
        <v>45</v>
      </c>
    </row>
    <row r="2" spans="1:3" x14ac:dyDescent="0.25">
      <c r="A2">
        <v>200</v>
      </c>
      <c r="C2">
        <v>75</v>
      </c>
    </row>
    <row r="3" spans="1:3" x14ac:dyDescent="0.25">
      <c r="A3">
        <v>250</v>
      </c>
      <c r="C3">
        <v>150</v>
      </c>
    </row>
    <row r="4" spans="1:3" x14ac:dyDescent="0.25">
      <c r="A4">
        <v>300</v>
      </c>
      <c r="C4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37</vt:i4>
      </vt:variant>
    </vt:vector>
  </HeadingPairs>
  <TitlesOfParts>
    <vt:vector size="44" baseType="lpstr">
      <vt:lpstr>Initialize</vt:lpstr>
      <vt:lpstr>Play Waveform</vt:lpstr>
      <vt:lpstr>Audio-to-Haptics</vt:lpstr>
      <vt:lpstr>Lists</vt:lpstr>
      <vt:lpstr>ERM Voltage Equations</vt:lpstr>
      <vt:lpstr>LRA Voltage Equations</vt:lpstr>
      <vt:lpstr>Design Equations Lists</vt:lpstr>
      <vt:lpstr>accouple_list</vt:lpstr>
      <vt:lpstr>ath_filter_list</vt:lpstr>
      <vt:lpstr>ath_rectime_list</vt:lpstr>
      <vt:lpstr>autocal_time_list</vt:lpstr>
      <vt:lpstr>autoresgain_list</vt:lpstr>
      <vt:lpstr>bemfgain_list</vt:lpstr>
      <vt:lpstr>bidirinput_list</vt:lpstr>
      <vt:lpstr>binary_defaultoff_list</vt:lpstr>
      <vt:lpstr>binary_defaulton_list</vt:lpstr>
      <vt:lpstr>blankingtime</vt:lpstr>
      <vt:lpstr>blankingtime_list</vt:lpstr>
      <vt:lpstr>dataformat_list</vt:lpstr>
      <vt:lpstr>drivetime</vt:lpstr>
      <vt:lpstr>ds_autoresgain_list</vt:lpstr>
      <vt:lpstr>ds_blankingtime_list</vt:lpstr>
      <vt:lpstr>erm_openloop_list</vt:lpstr>
      <vt:lpstr>erm_ratedvoltage</vt:lpstr>
      <vt:lpstr>f_actuator</vt:lpstr>
      <vt:lpstr>fbbrakefactor_list</vt:lpstr>
      <vt:lpstr>idisstime</vt:lpstr>
      <vt:lpstr>librarysel_list</vt:lpstr>
      <vt:lpstr>loopresponse_list</vt:lpstr>
      <vt:lpstr>lra_openloop_list</vt:lpstr>
      <vt:lpstr>lra_overdrivevoltage</vt:lpstr>
      <vt:lpstr>lra_ratedvoltage</vt:lpstr>
      <vt:lpstr>lradrivemode_list</vt:lpstr>
      <vt:lpstr>mode_list</vt:lpstr>
      <vt:lpstr>nERM_LRA_list</vt:lpstr>
      <vt:lpstr>ng_threshold_list</vt:lpstr>
      <vt:lpstr>npwm_analog_list</vt:lpstr>
      <vt:lpstr>'ERM Voltage Equations'!overdrive</vt:lpstr>
      <vt:lpstr>'ERM Voltage Equations'!overdrivevoltage</vt:lpstr>
      <vt:lpstr>'ERM Voltage Equations'!ratedvoltage</vt:lpstr>
      <vt:lpstr>sampletime</vt:lpstr>
      <vt:lpstr>standby_list</vt:lpstr>
      <vt:lpstr>supplycomp_list</vt:lpstr>
      <vt:lpstr>vrms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Burk</dc:creator>
  <cp:lastModifiedBy>Burk, Brian</cp:lastModifiedBy>
  <dcterms:created xsi:type="dcterms:W3CDTF">2012-07-19T11:10:57Z</dcterms:created>
  <dcterms:modified xsi:type="dcterms:W3CDTF">2014-05-22T15:48:51Z</dcterms:modified>
</cp:coreProperties>
</file>