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2022/Documents/work/co-author/2025_Guadix_Nicole/Guadix/data/"/>
    </mc:Choice>
  </mc:AlternateContent>
  <xr:revisionPtr revIDLastSave="0" documentId="13_ncr:1_{293BD9B6-455E-3B4C-876E-B6DA02CC6066}" xr6:coauthVersionLast="47" xr6:coauthVersionMax="47" xr10:uidLastSave="{00000000-0000-0000-0000-000000000000}"/>
  <bookViews>
    <workbookView xWindow="0" yWindow="760" windowWidth="29400" windowHeight="16660" xr2:uid="{DE2A821F-0A42-FC4D-8B4B-A821F0EC098F}"/>
  </bookViews>
  <sheets>
    <sheet name="Sheet1" sheetId="1" r:id="rId1"/>
    <sheet name="triple_clumped" sheetId="2" r:id="rId2"/>
    <sheet name="clumped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/>
  <c r="F16" i="1" l="1" a="1"/>
  <c r="G30" i="1" s="1"/>
  <c r="C16" i="1" a="1"/>
  <c r="I29" i="1" s="1"/>
  <c r="L12" i="1"/>
  <c r="K12" i="1"/>
  <c r="N12" i="1" s="1"/>
  <c r="P12" i="1" s="1"/>
  <c r="J12" i="1"/>
  <c r="I11" i="1"/>
  <c r="J11" i="1" s="1"/>
  <c r="H11" i="1"/>
  <c r="F11" i="1"/>
  <c r="G11" i="1" s="1"/>
  <c r="C11" i="1"/>
  <c r="K11" i="1" s="1"/>
  <c r="I10" i="1"/>
  <c r="J10" i="1" s="1"/>
  <c r="H10" i="1"/>
  <c r="F10" i="1"/>
  <c r="G10" i="1" s="1"/>
  <c r="C10" i="1"/>
  <c r="K10" i="1" s="1"/>
  <c r="I9" i="1"/>
  <c r="J9" i="1" s="1"/>
  <c r="H9" i="1"/>
  <c r="F9" i="1"/>
  <c r="G9" i="1" s="1"/>
  <c r="C9" i="1"/>
  <c r="L9" i="1" s="1"/>
  <c r="I8" i="1"/>
  <c r="J8" i="1" s="1"/>
  <c r="H8" i="1"/>
  <c r="F8" i="1"/>
  <c r="G8" i="1" s="1"/>
  <c r="C8" i="1"/>
  <c r="L8" i="1" s="1"/>
  <c r="I7" i="1"/>
  <c r="J7" i="1" s="1"/>
  <c r="H7" i="1"/>
  <c r="F7" i="1"/>
  <c r="G7" i="1" s="1"/>
  <c r="C7" i="1"/>
  <c r="K7" i="1" s="1"/>
  <c r="I6" i="1"/>
  <c r="J6" i="1" s="1"/>
  <c r="H6" i="1"/>
  <c r="F6" i="1"/>
  <c r="G6" i="1" s="1"/>
  <c r="C6" i="1"/>
  <c r="K6" i="1" s="1"/>
  <c r="I5" i="1"/>
  <c r="J5" i="1" s="1"/>
  <c r="H5" i="1"/>
  <c r="F5" i="1"/>
  <c r="G5" i="1" s="1"/>
  <c r="C5" i="1"/>
  <c r="K5" i="1" s="1"/>
  <c r="I4" i="1"/>
  <c r="J4" i="1" s="1"/>
  <c r="H4" i="1"/>
  <c r="F4" i="1"/>
  <c r="G4" i="1" s="1"/>
  <c r="C4" i="1"/>
  <c r="L4" i="1" s="1"/>
  <c r="I3" i="1"/>
  <c r="J3" i="1" s="1"/>
  <c r="H3" i="1"/>
  <c r="F3" i="1"/>
  <c r="G3" i="1" s="1"/>
  <c r="C3" i="1"/>
  <c r="K3" i="1" s="1"/>
  <c r="K9" i="1" l="1"/>
  <c r="L7" i="1"/>
  <c r="L5" i="1"/>
  <c r="L10" i="1"/>
  <c r="M7" i="1"/>
  <c r="O7" i="1" s="1"/>
  <c r="Q7" i="1" s="1"/>
  <c r="N9" i="1"/>
  <c r="P9" i="1" s="1"/>
  <c r="M10" i="1"/>
  <c r="O10" i="1" s="1"/>
  <c r="Q10" i="1" s="1"/>
  <c r="R10" i="1" s="1"/>
  <c r="M5" i="1"/>
  <c r="O5" i="1" s="1"/>
  <c r="Q5" i="1" s="1"/>
  <c r="N6" i="1"/>
  <c r="P6" i="1" s="1"/>
  <c r="M9" i="1"/>
  <c r="O9" i="1" s="1"/>
  <c r="Q9" i="1" s="1"/>
  <c r="R9" i="1" s="1"/>
  <c r="N5" i="1"/>
  <c r="P5" i="1" s="1"/>
  <c r="L6" i="1"/>
  <c r="M6" i="1" s="1"/>
  <c r="O6" i="1" s="1"/>
  <c r="Q6" i="1" s="1"/>
  <c r="N10" i="1"/>
  <c r="P10" i="1" s="1"/>
  <c r="L11" i="1"/>
  <c r="M11" i="1" s="1"/>
  <c r="O11" i="1" s="1"/>
  <c r="Q11" i="1" s="1"/>
  <c r="L3" i="1"/>
  <c r="M3" i="1" s="1"/>
  <c r="O3" i="1" s="1"/>
  <c r="Q3" i="1" s="1"/>
  <c r="N3" i="1"/>
  <c r="P3" i="1" s="1"/>
  <c r="N7" i="1"/>
  <c r="P7" i="1" s="1"/>
  <c r="R7" i="1" s="1"/>
  <c r="N11" i="1"/>
  <c r="P11" i="1" s="1"/>
  <c r="G17" i="1"/>
  <c r="G19" i="1"/>
  <c r="G21" i="1"/>
  <c r="G23" i="1"/>
  <c r="G25" i="1"/>
  <c r="G27" i="1"/>
  <c r="G29" i="1"/>
  <c r="C16" i="1"/>
  <c r="H17" i="1"/>
  <c r="H19" i="1"/>
  <c r="H21" i="1"/>
  <c r="H23" i="1"/>
  <c r="H25" i="1"/>
  <c r="H27" i="1"/>
  <c r="H29" i="1"/>
  <c r="M12" i="1"/>
  <c r="O12" i="1" s="1"/>
  <c r="Q12" i="1" s="1"/>
  <c r="R12" i="1" s="1"/>
  <c r="I23" i="1"/>
  <c r="F16" i="1"/>
  <c r="G18" i="1"/>
  <c r="G20" i="1"/>
  <c r="G22" i="1"/>
  <c r="G24" i="1"/>
  <c r="G26" i="1"/>
  <c r="G28" i="1"/>
  <c r="K4" i="1"/>
  <c r="M4" i="1" s="1"/>
  <c r="O4" i="1" s="1"/>
  <c r="Q4" i="1" s="1"/>
  <c r="K8" i="1"/>
  <c r="M8" i="1" s="1"/>
  <c r="O8" i="1" s="1"/>
  <c r="Q8" i="1" s="1"/>
  <c r="H18" i="1"/>
  <c r="H20" i="1"/>
  <c r="H22" i="1"/>
  <c r="H24" i="1"/>
  <c r="H26" i="1"/>
  <c r="H28" i="1"/>
  <c r="H30" i="1"/>
  <c r="J30" i="1" s="1"/>
  <c r="I19" i="1"/>
  <c r="I18" i="1"/>
  <c r="I20" i="1"/>
  <c r="I22" i="1"/>
  <c r="I24" i="1"/>
  <c r="I26" i="1"/>
  <c r="I28" i="1"/>
  <c r="I30" i="1"/>
  <c r="I17" i="1"/>
  <c r="I21" i="1"/>
  <c r="I25" i="1"/>
  <c r="I27" i="1"/>
  <c r="R3" i="1" l="1"/>
  <c r="R6" i="1"/>
  <c r="N4" i="1"/>
  <c r="P4" i="1" s="1"/>
  <c r="R4" i="1" s="1"/>
  <c r="R5" i="1"/>
  <c r="R11" i="1"/>
  <c r="J17" i="1"/>
  <c r="J28" i="1"/>
  <c r="I16" i="1"/>
  <c r="H16" i="1"/>
  <c r="J16" i="1" s="1"/>
  <c r="J26" i="1"/>
  <c r="J29" i="1"/>
  <c r="J24" i="1"/>
  <c r="J27" i="1"/>
  <c r="J22" i="1"/>
  <c r="J25" i="1"/>
  <c r="J20" i="1"/>
  <c r="J23" i="1"/>
  <c r="J18" i="1"/>
  <c r="J21" i="1"/>
  <c r="N8" i="1"/>
  <c r="P8" i="1" s="1"/>
  <c r="R8" i="1" s="1"/>
  <c r="J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<sst xmlns="http://schemas.openxmlformats.org/spreadsheetml/2006/main" count="84" uniqueCount="50">
  <si>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Clumped and Triple</t>
  </si>
  <si>
    <t>Age</t>
  </si>
  <si>
    <t>Sample ID</t>
  </si>
  <si>
    <t>T</t>
  </si>
  <si>
    <t>avg D47</t>
  </si>
  <si>
    <t>D47 stdev</t>
  </si>
  <si>
    <t>d18O (PDB)</t>
  </si>
  <si>
    <t>d18O(SMOW)</t>
  </si>
  <si>
    <t>d17O (SMOW)</t>
  </si>
  <si>
    <t>Δ'17Occ</t>
  </si>
  <si>
    <t>Δ'17Occ (per meg)</t>
  </si>
  <si>
    <t>18alpha (Tremaine 2011)</t>
  </si>
  <si>
    <t>theta cc-water</t>
  </si>
  <si>
    <t>17alpha</t>
  </si>
  <si>
    <t>d18Osw</t>
  </si>
  <si>
    <t>d17Osw</t>
  </si>
  <si>
    <t>d'18Osw</t>
  </si>
  <si>
    <t>d'17Osw</t>
  </si>
  <si>
    <t>D'17Osw</t>
  </si>
  <si>
    <t xml:space="preserve">TEST </t>
  </si>
  <si>
    <t xml:space="preserve">Clumped </t>
  </si>
  <si>
    <t>Depth</t>
  </si>
  <si>
    <t>Nodule</t>
  </si>
  <si>
    <t>UNM</t>
  </si>
  <si>
    <t>UW</t>
  </si>
  <si>
    <t>UT</t>
  </si>
  <si>
    <t>E</t>
  </si>
  <si>
    <t>A</t>
  </si>
  <si>
    <t>B</t>
  </si>
  <si>
    <t>D</t>
  </si>
  <si>
    <t>C</t>
  </si>
  <si>
    <t>F</t>
  </si>
  <si>
    <t>Triple</t>
  </si>
  <si>
    <t>Sample_ID</t>
  </si>
  <si>
    <t>Avg d18O</t>
  </si>
  <si>
    <t>d18O PDB</t>
  </si>
  <si>
    <t>stdev</t>
  </si>
  <si>
    <t>st error</t>
  </si>
  <si>
    <t>Avg D17O</t>
  </si>
  <si>
    <t>Avg d17O</t>
  </si>
  <si>
    <t>D(C) E(T)</t>
  </si>
  <si>
    <t>A (C ) B (T)</t>
  </si>
  <si>
    <t>age</t>
  </si>
  <si>
    <t>SID</t>
  </si>
  <si>
    <t>D47</t>
  </si>
  <si>
    <t>D47_sd</t>
  </si>
  <si>
    <t>d18c</t>
  </si>
  <si>
    <t>d18c_sd</t>
  </si>
  <si>
    <t>d17c</t>
  </si>
  <si>
    <t>d17c_sd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</si>
</sst>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0" xfId="1" applyFont="1" applyBorder="1" applyAlignment="1">
      <alignment horizontal="center" vertical="center"/>
    </xf>
    <xf numFmtId="2" fontId="5" fillId="0" borderId="0" xfId="1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2" fontId="5" fillId="0" borderId="13" xfId="1" applyNumberFormat="1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165" fontId="3" fillId="0" borderId="5" xfId="1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166" fontId="3" fillId="0" borderId="0" xfId="1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3" fillId="0" borderId="0" xfId="1" applyFont="1"/>
    <xf numFmtId="0" fontId="3" fillId="0" borderId="0" xfId="2" applyFont="1"/>
    <xf numFmtId="0" fontId="6" fillId="0" borderId="12" xfId="0" applyFont="1" applyBorder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166" fontId="6" fillId="0" borderId="13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8" fillId="0" borderId="0" xfId="0" applyFont="1"/>
    <xf numFmtId="2" fontId="8" fillId="0" borderId="0" xfId="0" applyNumberFormat="1" applyFont="1"/>
    <xf numFmtId="2" fontId="0" fillId="0" borderId="0" xfId="0" applyNumberFormat="1"/>
  </cellXfs>
  <cellStyles count="3">
    <cellStyle name="Normal" xfId="0" builtinId="0"/>
    <cellStyle name="Normal 2" xfId="2" xr:uid="{0B0553C8-2487-3340-9A70-FA74908F7582}"/>
    <cellStyle name="Normal 3" xfId="1" xr:uid="{0FEE876F-9569-4D4F-B351-17B59E30B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iawei2022/Documents/work/co-author/2025_Guadix_Nicole/Guadix/data/Triple_Clumped_Combined.xlsx" TargetMode="External"/><Relationship Id="rId1" Type="http://schemas.openxmlformats.org/officeDocument/2006/relationships/externalLinkPath" Target="Triple_Clumped_Combin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17Osw and d18Osw"/>
      <sheetName val="Triple_Raw"/>
      <sheetName val="Triple_Standards"/>
      <sheetName val="Triple_Calibrated"/>
      <sheetName val="Triple_Statistics"/>
      <sheetName val="Clumped_Raw"/>
      <sheetName val="Clumped_Statistics"/>
      <sheetName val="Clumped_graphs"/>
      <sheetName val="d18o comparison between lab"/>
      <sheetName val="need_clumped_calibrat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G3">
            <v>-0.14523617110539089</v>
          </cell>
          <cell r="J3">
            <v>12.942030779984144</v>
          </cell>
        </row>
        <row r="4">
          <cell r="G4">
            <v>-9.2077604860147488E-2</v>
          </cell>
          <cell r="J4">
            <v>12.555801410854741</v>
          </cell>
        </row>
        <row r="6">
          <cell r="G6">
            <v>-0.11312626393413971</v>
          </cell>
          <cell r="J6">
            <v>12.886723042269686</v>
          </cell>
        </row>
        <row r="9">
          <cell r="G9">
            <v>-0.15665622144722668</v>
          </cell>
          <cell r="J9">
            <v>12.893331385263586</v>
          </cell>
        </row>
        <row r="10">
          <cell r="G10">
            <v>-5.9911245870401419E-2</v>
          </cell>
          <cell r="J10">
            <v>12.670905435928482</v>
          </cell>
        </row>
        <row r="12">
          <cell r="D12">
            <v>-6.7120365232187247</v>
          </cell>
          <cell r="G12">
            <v>-0.10575728840298027</v>
          </cell>
          <cell r="J12">
            <v>12.561223769501073</v>
          </cell>
        </row>
        <row r="13">
          <cell r="D13">
            <v>-6.9953311514361225</v>
          </cell>
          <cell r="G13">
            <v>-8.8486929756288912E-2</v>
          </cell>
          <cell r="J13">
            <v>12.424291060135047</v>
          </cell>
        </row>
        <row r="14">
          <cell r="D14">
            <v>-5.4613286885794157</v>
          </cell>
          <cell r="G14">
            <v>-8.9660979774365046E-2</v>
          </cell>
          <cell r="J14">
            <v>13.258105967020319</v>
          </cell>
        </row>
        <row r="15">
          <cell r="D15">
            <v>-6.1913121643426265</v>
          </cell>
          <cell r="G15">
            <v>-8.2966029861732515E-2</v>
          </cell>
          <cell r="J15">
            <v>12.867455961013452</v>
          </cell>
        </row>
      </sheetData>
      <sheetData sheetId="5"/>
      <sheetData sheetId="6">
        <row r="2">
          <cell r="E2">
            <v>-6.1861320065081635</v>
          </cell>
          <cell r="N2">
            <v>13.032480950069063</v>
          </cell>
        </row>
        <row r="3">
          <cell r="E3">
            <v>-4.8736622050000005</v>
          </cell>
          <cell r="N3">
            <v>11.645939936168702</v>
          </cell>
        </row>
        <row r="4">
          <cell r="E4">
            <v>-6.0748457185243465</v>
          </cell>
          <cell r="N4">
            <v>24.402488205498134</v>
          </cell>
        </row>
        <row r="5">
          <cell r="E5">
            <v>-5.464213667782035</v>
          </cell>
          <cell r="N5">
            <v>18.409897824268256</v>
          </cell>
        </row>
        <row r="6">
          <cell r="E6">
            <v>-6.5821954375700464</v>
          </cell>
          <cell r="N6">
            <v>14.14053938447436</v>
          </cell>
        </row>
        <row r="7">
          <cell r="E7">
            <v>-6.5577331030000003</v>
          </cell>
          <cell r="N7">
            <v>20.769942498551263</v>
          </cell>
        </row>
        <row r="8">
          <cell r="E8">
            <v>-5.8044245019999998</v>
          </cell>
          <cell r="N8">
            <v>13.907555357546158</v>
          </cell>
        </row>
        <row r="9">
          <cell r="E9">
            <v>-5.7468283499999995</v>
          </cell>
          <cell r="N9">
            <v>16.813100170540338</v>
          </cell>
        </row>
        <row r="10">
          <cell r="E10">
            <v>-5.646577612333334</v>
          </cell>
          <cell r="N10">
            <v>3.2939171658659916</v>
          </cell>
          <cell r="O10">
            <v>3.6915214205991225</v>
          </cell>
        </row>
        <row r="11">
          <cell r="E11">
            <v>-5.2807279245000007</v>
          </cell>
          <cell r="N11">
            <v>13.872664930944268</v>
          </cell>
        </row>
        <row r="12">
          <cell r="E12">
            <v>-5.2672073680000002</v>
          </cell>
          <cell r="N12">
            <v>17.629639758380506</v>
          </cell>
        </row>
        <row r="13">
          <cell r="E13">
            <v>-5.8593444766666662</v>
          </cell>
          <cell r="N13">
            <v>4.5126437789767424</v>
          </cell>
        </row>
        <row r="14">
          <cell r="E14">
            <v>-5.6291681433333336</v>
          </cell>
          <cell r="N14">
            <v>12.451038840750167</v>
          </cell>
        </row>
        <row r="15">
          <cell r="E15">
            <v>-5.6683036076245497</v>
          </cell>
          <cell r="N15">
            <v>4.8612366404932175</v>
          </cell>
        </row>
        <row r="16">
          <cell r="E16">
            <v>-5.0185485151955653</v>
          </cell>
          <cell r="N16">
            <v>-7.1618335991728657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5A21-7E60-3346-B01A-D0B5EE81BAC7}">
  <dimension ref="A1:U57"/>
  <sheetViews>
    <sheetView tabSelected="1" workbookViewId="0">
      <selection activeCell="G16" sqref="G16"/>
    </sheetView>
  </sheetViews>
  <sheetFormatPr baseColWidth="10" defaultRowHeight="16" x14ac:dyDescent="0.2"/>
  <sheetData>
    <row r="1" spans="1:21" x14ac:dyDescent="0.2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4"/>
      <c r="S1" s="3"/>
      <c r="T1" s="3"/>
      <c r="U1" s="3"/>
    </row>
    <row r="2" spans="1:21" x14ac:dyDescent="0.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7" t="s">
        <v>6</v>
      </c>
      <c r="G2" s="5" t="s">
        <v>7</v>
      </c>
      <c r="H2" s="8" t="s">
        <v>8</v>
      </c>
      <c r="I2" s="9" t="s">
        <v>9</v>
      </c>
      <c r="J2" s="10" t="s">
        <v>10</v>
      </c>
      <c r="K2" s="5" t="s">
        <v>11</v>
      </c>
      <c r="L2" s="5" t="s">
        <v>12</v>
      </c>
      <c r="M2" s="5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11" t="s">
        <v>18</v>
      </c>
      <c r="S2" s="3"/>
      <c r="T2" s="3"/>
      <c r="U2" s="3"/>
    </row>
    <row r="3" spans="1:21" x14ac:dyDescent="0.2">
      <c r="A3" s="12">
        <v>3.6606406250000001</v>
      </c>
      <c r="B3" s="13">
        <v>2210</v>
      </c>
      <c r="C3" s="14">
        <f>[1]Clumped_Statistics!N4</f>
        <v>24.402488205498134</v>
      </c>
      <c r="D3" s="15">
        <v>0.59614674314577565</v>
      </c>
      <c r="E3" s="15">
        <v>2.1361289779870653E-2</v>
      </c>
      <c r="F3" s="16">
        <f>Q21</f>
        <v>-5.9399070358522339</v>
      </c>
      <c r="G3" s="13">
        <f>F3*1.03091+30.91</f>
        <v>24.786490437669574</v>
      </c>
      <c r="H3" s="13">
        <f>[1]Triple_Statistics!J3</f>
        <v>12.942030779984144</v>
      </c>
      <c r="I3" s="17">
        <f>[1]Triple_Statistics!G3</f>
        <v>-0.14523617110539089</v>
      </c>
      <c r="J3" s="13">
        <f>1000*I3</f>
        <v>-145.23617110539089</v>
      </c>
      <c r="K3" s="13">
        <f>EXP((16.1*1000/(273.15+C3)-24.6)/1000)</f>
        <v>1.0299477787521354</v>
      </c>
      <c r="L3" s="13">
        <f>-1.39/(273.15+C3)+0.5305</f>
        <v>0.52582855527983341</v>
      </c>
      <c r="M3" s="13">
        <f t="shared" ref="M3:M11" si="0">K3^L3</f>
        <v>1.0156372032468139</v>
      </c>
      <c r="N3" s="13">
        <f>(1000+G3)/K3-1000</f>
        <v>-5.0112135983430335</v>
      </c>
      <c r="O3" s="13">
        <f>(1000+H3)/M3-1000</f>
        <v>-2.65367638977159</v>
      </c>
      <c r="P3" s="13">
        <f t="shared" ref="P3:Q11" si="1">1000*LN(N3/1000+1)</f>
        <v>-5.0238118351340422</v>
      </c>
      <c r="Q3" s="13">
        <f t="shared" si="1"/>
        <v>-2.6572036304477842</v>
      </c>
      <c r="R3" s="18">
        <f>(Q3-0.528*P3)*1000</f>
        <v>-4.6309814970095786</v>
      </c>
      <c r="S3" s="3"/>
      <c r="T3" s="3"/>
      <c r="U3" s="3"/>
    </row>
    <row r="4" spans="1:21" x14ac:dyDescent="0.2">
      <c r="A4" s="19">
        <v>3.45</v>
      </c>
      <c r="B4" s="20">
        <v>3670</v>
      </c>
      <c r="C4" s="21">
        <f>[1]Clumped_Statistics!N6</f>
        <v>14.14053938447436</v>
      </c>
      <c r="D4" s="22">
        <v>0.62790242518971795</v>
      </c>
      <c r="E4" s="22">
        <v>1.2678794785643273E-2</v>
      </c>
      <c r="F4" s="20">
        <f>R23</f>
        <v>-6.5821954375700464</v>
      </c>
      <c r="G4" s="20">
        <f>F4*1.03091+30.91</f>
        <v>24.124348901454663</v>
      </c>
      <c r="H4" s="20">
        <f>[1]Triple_Statistics!$J$4</f>
        <v>12.555801410854741</v>
      </c>
      <c r="I4" s="23">
        <f>[1]Triple_Statistics!$G$4</f>
        <v>-9.2077604860147488E-2</v>
      </c>
      <c r="J4" s="20">
        <f>1000*I4</f>
        <v>-92.077604860147488</v>
      </c>
      <c r="K4" s="20">
        <f>EXP((16.1*1000/(273.15+C4)-24.6)/1000)</f>
        <v>1.0319403128813007</v>
      </c>
      <c r="L4" s="20">
        <f>-1.39/(273.15+C4)+0.5305</f>
        <v>0.52566169240038985</v>
      </c>
      <c r="M4" s="20">
        <f t="shared" si="0"/>
        <v>1.0166645697408971</v>
      </c>
      <c r="N4" s="20">
        <f>(1000+G4)/K4-1000</f>
        <v>-7.5740465628510947</v>
      </c>
      <c r="O4" s="20">
        <f>(1000+H4)/M4-1000</f>
        <v>-4.0414198078029813</v>
      </c>
      <c r="P4" s="20">
        <f t="shared" si="1"/>
        <v>-7.6028753126318236</v>
      </c>
      <c r="Q4" s="20">
        <f t="shared" si="1"/>
        <v>-4.0496084146794047</v>
      </c>
      <c r="R4" s="24">
        <f>(Q4-0.528*P4)*1000</f>
        <v>-35.290249609801982</v>
      </c>
      <c r="S4" s="3"/>
      <c r="T4" s="3"/>
      <c r="U4" s="3"/>
    </row>
    <row r="5" spans="1:21" x14ac:dyDescent="0.2">
      <c r="A5" s="19">
        <v>3.2957739130434782</v>
      </c>
      <c r="B5" s="20">
        <v>5020</v>
      </c>
      <c r="C5" s="25">
        <f>[1]Clumped_Statistics!N7</f>
        <v>20.769942498551263</v>
      </c>
      <c r="D5" s="22">
        <v>0.60678844133333332</v>
      </c>
      <c r="E5" s="22">
        <v>1.2974536876548762E-2</v>
      </c>
      <c r="F5" s="3">
        <f>Q25</f>
        <v>-6.1005066239583252</v>
      </c>
      <c r="G5" s="20">
        <f>F5*1.03091+30.91</f>
        <v>24.620926716295124</v>
      </c>
      <c r="H5" s="20">
        <f>[1]Triple_Statistics!J6</f>
        <v>12.886723042269686</v>
      </c>
      <c r="I5" s="23">
        <f>[1]Triple_Statistics!G6</f>
        <v>-0.11312626393413971</v>
      </c>
      <c r="J5" s="20">
        <f t="shared" ref="J5:J12" si="2">1000*I5</f>
        <v>-113.12626393413971</v>
      </c>
      <c r="K5" s="20">
        <f>EXP((16.1*1000/(273.15+C5)-24.6)/1000)</f>
        <v>1.0306367557890188</v>
      </c>
      <c r="L5" s="20">
        <f>-1.39/(273.15+C5)+0.5305</f>
        <v>0.52577082106717932</v>
      </c>
      <c r="M5" s="20">
        <f>K5^L5</f>
        <v>1.0159926265667993</v>
      </c>
      <c r="N5" s="20">
        <f>(1000+G5)/K5-1000</f>
        <v>-5.8370022599457343</v>
      </c>
      <c r="O5" s="20">
        <f>(1000+H5)/M5-1000</f>
        <v>-3.0570138437176411</v>
      </c>
      <c r="P5" s="20">
        <f>1000*LN(N5/1000+1)</f>
        <v>-5.854104139247605</v>
      </c>
      <c r="Q5" s="20">
        <f>1000*LN(O5/1000+1)</f>
        <v>-3.0616960553633867</v>
      </c>
      <c r="R5" s="24">
        <f>(Q5-0.528*P5)*1000</f>
        <v>29.270930159349007</v>
      </c>
      <c r="S5" s="3"/>
      <c r="T5" s="3"/>
      <c r="U5" s="3"/>
    </row>
    <row r="6" spans="1:21" x14ac:dyDescent="0.2">
      <c r="A6" s="19">
        <v>3.11913793103448</v>
      </c>
      <c r="B6" s="20">
        <v>6690</v>
      </c>
      <c r="C6" s="25">
        <f>[1]Clumped_Statistics!O10</f>
        <v>3.6915214205991225</v>
      </c>
      <c r="D6" s="22">
        <v>0.66581926400000002</v>
      </c>
      <c r="E6" s="22">
        <v>1.3574856389980107E-2</v>
      </c>
      <c r="F6" s="20">
        <f>Q30</f>
        <v>-6.0083948950243196</v>
      </c>
      <c r="G6" s="20">
        <f>F6*1.03091+30.91</f>
        <v>24.715885618770479</v>
      </c>
      <c r="H6" s="20">
        <f>[1]Triple_Statistics!J9</f>
        <v>12.893331385263586</v>
      </c>
      <c r="I6" s="23">
        <f>[1]Triple_Statistics!G9</f>
        <v>-0.15665622144722668</v>
      </c>
      <c r="J6" s="20">
        <f t="shared" si="2"/>
        <v>-156.6562214472267</v>
      </c>
      <c r="K6" s="20">
        <f>EXP((16.1*1000/(273.15+C6)-24.6)/1000)</f>
        <v>1.0341253698603388</v>
      </c>
      <c r="L6" s="20">
        <f>-1.39/(273.15+C6)+0.5305</f>
        <v>0.52547907686366091</v>
      </c>
      <c r="M6" s="20">
        <f>K6^L6</f>
        <v>1.0177893632666895</v>
      </c>
      <c r="N6" s="20">
        <f>(1000+G6)/K6-1000</f>
        <v>-9.098978243652482</v>
      </c>
      <c r="O6" s="20">
        <f>(1000+H6)/M6-1000</f>
        <v>-4.8104569158707591</v>
      </c>
      <c r="P6" s="20">
        <f>1000*LN(N6/1000+1)</f>
        <v>-9.1406267780960384</v>
      </c>
      <c r="Q6" s="20">
        <f>1000*LN(O6/1000+1)</f>
        <v>-4.8220644035809928</v>
      </c>
      <c r="R6" s="24">
        <f>(Q6-0.528*P6)*1000</f>
        <v>4.1865352537158174</v>
      </c>
      <c r="S6" s="3"/>
      <c r="T6" s="3"/>
      <c r="U6" s="3"/>
    </row>
    <row r="7" spans="1:21" x14ac:dyDescent="0.2">
      <c r="A7" s="19">
        <v>2.9851653846153847</v>
      </c>
      <c r="B7" s="20">
        <v>7170</v>
      </c>
      <c r="C7" s="21">
        <f>[1]Clumped_Statistics!N11</f>
        <v>13.872664930944268</v>
      </c>
      <c r="D7" s="22">
        <v>0.62900080899999999</v>
      </c>
      <c r="E7" s="22">
        <v>2.2013028886359323E-2</v>
      </c>
      <c r="F7" s="20">
        <f>Q31</f>
        <v>-5.1880623460988149</v>
      </c>
      <c r="G7" s="20">
        <f>F7*1.03091+30.91</f>
        <v>25.561574646783271</v>
      </c>
      <c r="H7" s="20">
        <f>[1]Triple_Statistics!J10</f>
        <v>12.670905435928482</v>
      </c>
      <c r="I7" s="23">
        <f>[1]Triple_Statistics!G10</f>
        <v>-5.9911245870401419E-2</v>
      </c>
      <c r="J7" s="20">
        <f t="shared" si="2"/>
        <v>-59.911245870401416</v>
      </c>
      <c r="K7" s="20">
        <f>EXP((16.1*1000/(273.15+C7)-24.6)/1000)</f>
        <v>1.0319942870041061</v>
      </c>
      <c r="L7" s="20">
        <f>-1.39/(273.15+C7)+0.5305</f>
        <v>0.52565717687195734</v>
      </c>
      <c r="M7" s="20">
        <f t="shared" si="0"/>
        <v>1.0166923769502583</v>
      </c>
      <c r="N7" s="20">
        <f>(1000+G7)/K7-1000</f>
        <v>-6.2332829147698021</v>
      </c>
      <c r="O7" s="20">
        <f>(1000+H7)/M7-1000</f>
        <v>-3.9554457233100493</v>
      </c>
      <c r="P7" s="20">
        <f t="shared" si="1"/>
        <v>-6.2527909309563698</v>
      </c>
      <c r="Q7" s="20">
        <f t="shared" si="1"/>
        <v>-3.9632891885109673</v>
      </c>
      <c r="R7" s="24">
        <f>(Q7-0.528*P7)*1000</f>
        <v>-661.81557696600407</v>
      </c>
      <c r="S7" s="3"/>
      <c r="T7" s="3"/>
      <c r="U7" s="3"/>
    </row>
    <row r="8" spans="1:21" x14ac:dyDescent="0.2">
      <c r="A8" s="19">
        <v>2.8810884615384618</v>
      </c>
      <c r="B8" s="20">
        <v>7770</v>
      </c>
      <c r="C8" s="25">
        <f>[1]Clumped_Statistics!N12</f>
        <v>17.629639758380506</v>
      </c>
      <c r="D8" s="22">
        <v>0.61653015799999999</v>
      </c>
      <c r="E8" s="22">
        <v>1.0949674371680771E-2</v>
      </c>
      <c r="F8" s="20">
        <f>[1]Triple_Statistics!D12</f>
        <v>-6.7120365232187247</v>
      </c>
      <c r="G8" s="20">
        <f>F8*1.03091+30.91</f>
        <v>23.990494427848585</v>
      </c>
      <c r="H8" s="20">
        <f>[1]Triple_Statistics!J12</f>
        <v>12.561223769501073</v>
      </c>
      <c r="I8" s="23">
        <f>[1]Triple_Statistics!G12</f>
        <v>-0.10575728840298027</v>
      </c>
      <c r="J8" s="20">
        <f t="shared" si="2"/>
        <v>-105.75728840298027</v>
      </c>
      <c r="K8" s="20">
        <f>EXP((16.1*1000/(273.15+C8)-24.6)/1000)</f>
        <v>1.0312466274260534</v>
      </c>
      <c r="L8" s="20">
        <f>-1.39/(273.15+C8)+0.5305</f>
        <v>0.52571974784357323</v>
      </c>
      <c r="M8" s="20">
        <f t="shared" si="0"/>
        <v>1.0163070817758826</v>
      </c>
      <c r="N8" s="20">
        <f>(1000+G8)/K8-1000</f>
        <v>-7.0362731913274956</v>
      </c>
      <c r="O8" s="20">
        <f>(1000+H8)/M8-1000</f>
        <v>-3.6857541126605611</v>
      </c>
      <c r="P8" s="20">
        <f t="shared" si="1"/>
        <v>-7.0611444977433102</v>
      </c>
      <c r="Q8" s="20">
        <f t="shared" si="1"/>
        <v>-3.6925632406801978</v>
      </c>
      <c r="R8" s="24">
        <f>(Q8-0.528*P8)*1000</f>
        <v>35.721054128269984</v>
      </c>
      <c r="S8" s="3"/>
      <c r="T8" s="3"/>
      <c r="U8" s="3"/>
    </row>
    <row r="9" spans="1:21" x14ac:dyDescent="0.2">
      <c r="A9" s="19">
        <v>2.8741500000000002</v>
      </c>
      <c r="B9" s="20">
        <v>7810</v>
      </c>
      <c r="C9" s="25">
        <f>[1]Clumped_Statistics!N13</f>
        <v>4.5126437789767424</v>
      </c>
      <c r="D9" s="22"/>
      <c r="E9" s="22"/>
      <c r="F9" s="20">
        <f>[1]Triple_Statistics!D13</f>
        <v>-6.9953311514361225</v>
      </c>
      <c r="G9" s="20">
        <f>F9*1.03091+30.91</f>
        <v>23.698443162672987</v>
      </c>
      <c r="H9" s="20">
        <f>[1]Triple_Statistics!J13</f>
        <v>12.424291060135047</v>
      </c>
      <c r="I9" s="23">
        <f>[1]Triple_Statistics!G13</f>
        <v>-8.8486929756288912E-2</v>
      </c>
      <c r="J9" s="20">
        <f t="shared" si="2"/>
        <v>-88.486929756288916</v>
      </c>
      <c r="K9" s="20">
        <f>EXP((16.1*1000/(273.15+C9)-24.6)/1000)</f>
        <v>1.033947533353327</v>
      </c>
      <c r="L9" s="20">
        <f>-1.39/(273.15+C9)+0.5305</f>
        <v>0.52549392507007009</v>
      </c>
      <c r="M9" s="20">
        <f t="shared" si="0"/>
        <v>1.0176978908289336</v>
      </c>
      <c r="N9" s="20">
        <f>(1000+G9)/K9-1000</f>
        <v>-9.9125824667464713</v>
      </c>
      <c r="O9" s="20">
        <f>(1000+H9)/M9-1000</f>
        <v>-5.1818912236352617</v>
      </c>
      <c r="P9" s="20">
        <f t="shared" si="1"/>
        <v>-9.9620392131245481</v>
      </c>
      <c r="Q9" s="20">
        <f t="shared" si="1"/>
        <v>-5.195363784345207</v>
      </c>
      <c r="R9" s="24">
        <f>(Q9-0.528*P9)*1000</f>
        <v>64.592920184554544</v>
      </c>
      <c r="S9" s="3"/>
      <c r="T9" s="3"/>
      <c r="U9" s="3"/>
    </row>
    <row r="10" spans="1:21" x14ac:dyDescent="0.2">
      <c r="A10" s="19">
        <v>2.8117038461538462</v>
      </c>
      <c r="B10" s="20">
        <v>8170</v>
      </c>
      <c r="C10" s="25">
        <f>[1]Clumped_Statistics!N14</f>
        <v>12.451038840750167</v>
      </c>
      <c r="D10" s="22"/>
      <c r="E10" s="22"/>
      <c r="F10" s="20">
        <f>[1]Triple_Statistics!D14</f>
        <v>-5.4613286885794157</v>
      </c>
      <c r="G10" s="20">
        <f>F10*1.03091+30.91</f>
        <v>25.279861641656595</v>
      </c>
      <c r="H10" s="20">
        <f>[1]Triple_Statistics!J14</f>
        <v>13.258105967020319</v>
      </c>
      <c r="I10" s="23">
        <f>[1]Triple_Statistics!G14</f>
        <v>-8.9660979774365046E-2</v>
      </c>
      <c r="J10" s="20">
        <f t="shared" si="2"/>
        <v>-89.660979774365046</v>
      </c>
      <c r="K10" s="20">
        <f>EXP((16.1*1000/(273.15+C10)-24.6)/1000)</f>
        <v>1.0322824732242173</v>
      </c>
      <c r="L10" s="20">
        <f>-1.39/(273.15+C10)+0.5305</f>
        <v>0.52563307092424461</v>
      </c>
      <c r="M10" s="20">
        <f t="shared" si="0"/>
        <v>1.0168408292430324</v>
      </c>
      <c r="N10" s="20">
        <f>(1000+G10)/K10-1000</f>
        <v>-6.783619565571712</v>
      </c>
      <c r="O10" s="20">
        <f>(1000+H10)/M10-1000</f>
        <v>-3.5233865251842644</v>
      </c>
      <c r="P10" s="20">
        <f t="shared" si="1"/>
        <v>-6.8067329001271988</v>
      </c>
      <c r="Q10" s="20">
        <f t="shared" si="1"/>
        <v>-3.5296082701946259</v>
      </c>
      <c r="R10" s="24">
        <f>(Q10-0.528*P10)*1000</f>
        <v>64.346701072535154</v>
      </c>
      <c r="S10" s="3"/>
      <c r="T10" s="3"/>
      <c r="U10" s="3"/>
    </row>
    <row r="11" spans="1:21" x14ac:dyDescent="0.2">
      <c r="A11" s="19">
        <v>2.7518596153846153</v>
      </c>
      <c r="B11" s="20">
        <v>8515</v>
      </c>
      <c r="C11" s="25">
        <f>[1]Clumped_Statistics!N16</f>
        <v>-7.1618335991728657</v>
      </c>
      <c r="D11" s="22">
        <v>0.70697554299998444</v>
      </c>
      <c r="E11" s="22">
        <v>2.1824801303826136E-2</v>
      </c>
      <c r="F11" s="20">
        <f>[1]Triple_Statistics!D15</f>
        <v>-6.1913121643426265</v>
      </c>
      <c r="G11" s="20">
        <f>F11*1.03091+30.91</f>
        <v>24.527314376657543</v>
      </c>
      <c r="H11" s="20">
        <f>[1]Triple_Statistics!J15</f>
        <v>12.867455961013452</v>
      </c>
      <c r="I11" s="23">
        <f>[1]Triple_Statistics!G15</f>
        <v>-8.2966029861732515E-2</v>
      </c>
      <c r="J11" s="20">
        <f t="shared" si="2"/>
        <v>-82.966029861732522</v>
      </c>
      <c r="K11" s="20">
        <f>EXP((16.1*1000/(273.15+C11)-24.6)/1000)</f>
        <v>1.0365822554081547</v>
      </c>
      <c r="L11" s="20">
        <f>-1.39/(273.15+C11)+0.5305</f>
        <v>0.52527420360909827</v>
      </c>
      <c r="M11" s="20">
        <f t="shared" si="0"/>
        <v>1.0190517941468402</v>
      </c>
      <c r="N11" s="20">
        <f>(1000+G11)/K11-1000</f>
        <v>-11.629507420759865</v>
      </c>
      <c r="O11" s="20">
        <f>(1000+H11)/M11-1000</f>
        <v>-6.0687182156470953</v>
      </c>
      <c r="P11" s="20">
        <f t="shared" si="1"/>
        <v>-11.697659037271094</v>
      </c>
      <c r="Q11" s="20">
        <f t="shared" si="1"/>
        <v>-6.0872077290894699</v>
      </c>
      <c r="R11" s="24">
        <f>(Q11-0.528*P11)*1000</f>
        <v>89.156242589668366</v>
      </c>
      <c r="S11" s="3"/>
      <c r="T11" s="3"/>
      <c r="U11" s="3"/>
    </row>
    <row r="12" spans="1:21" x14ac:dyDescent="0.2">
      <c r="A12" s="26" t="s">
        <v>19</v>
      </c>
      <c r="B12" s="27"/>
      <c r="C12" s="27">
        <v>30</v>
      </c>
      <c r="D12" s="27"/>
      <c r="E12" s="27"/>
      <c r="F12" s="27"/>
      <c r="G12" s="28">
        <v>21.116628263222765</v>
      </c>
      <c r="H12" s="29">
        <v>10.999117727099701</v>
      </c>
      <c r="I12" s="30">
        <v>-9.4423026303861193E-2</v>
      </c>
      <c r="J12" s="27">
        <f t="shared" si="2"/>
        <v>-94.423026303861192</v>
      </c>
      <c r="K12" s="27">
        <f>EXP((16.1*1000/(273.15+C12)-24.6)/1000)</f>
        <v>1.0289192936370106</v>
      </c>
      <c r="L12" s="27">
        <f>-1.39/(273.15+C12)+0.5305</f>
        <v>0.52591481114959593</v>
      </c>
      <c r="M12" s="27">
        <f>K12^L12</f>
        <v>1.0151062805237878</v>
      </c>
      <c r="N12" s="27">
        <f>(1000+G12)/K12-1000</f>
        <v>-7.5833599603396351</v>
      </c>
      <c r="O12" s="27">
        <f>(1000+H12)/M12-1000</f>
        <v>-4.0460421489746068</v>
      </c>
      <c r="P12" s="27">
        <f>1000*LN(N12/1000+1)</f>
        <v>-7.6122598326126312</v>
      </c>
      <c r="Q12" s="27">
        <f>1000*LN(O12/1000+1)</f>
        <v>-4.0542495232456082</v>
      </c>
      <c r="R12" s="31">
        <f>(Q12-0.528*P12)*1000</f>
        <v>-34.976331626138446</v>
      </c>
      <c r="S12" s="3"/>
      <c r="T12" s="3"/>
      <c r="U12" s="3"/>
    </row>
    <row r="13" spans="1:21" ht="17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">
      <c r="A14" s="72" t="s">
        <v>20</v>
      </c>
      <c r="B14" s="73"/>
      <c r="C14" s="73"/>
      <c r="D14" s="73"/>
      <c r="E14" s="73"/>
      <c r="F14" s="73"/>
      <c r="G14" s="73"/>
      <c r="H14" s="73"/>
      <c r="I14" s="73"/>
      <c r="J14" s="7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">
      <c r="A15" s="32" t="s">
        <v>2</v>
      </c>
      <c r="B15" s="33" t="s">
        <v>1</v>
      </c>
      <c r="C15" s="32" t="s">
        <v>3</v>
      </c>
      <c r="D15" s="33" t="s">
        <v>4</v>
      </c>
      <c r="E15" s="34" t="s">
        <v>5</v>
      </c>
      <c r="F15" s="7" t="s">
        <v>6</v>
      </c>
      <c r="G15" s="5" t="s">
        <v>7</v>
      </c>
      <c r="H15" s="5" t="s">
        <v>11</v>
      </c>
      <c r="I15" s="5" t="s">
        <v>12</v>
      </c>
      <c r="J15" s="8" t="s">
        <v>14</v>
      </c>
      <c r="M15" s="3"/>
      <c r="N15" s="3"/>
      <c r="O15" s="3"/>
      <c r="P15" s="3"/>
      <c r="Q15" s="3"/>
      <c r="R15" s="3"/>
      <c r="S15" s="3"/>
      <c r="T15" s="3"/>
      <c r="U15" s="3"/>
    </row>
    <row r="16" spans="1:21" ht="17" thickBot="1" x14ac:dyDescent="0.25">
      <c r="A16" s="35">
        <v>1530</v>
      </c>
      <c r="B16" s="36">
        <v>3.911815625</v>
      </c>
      <c r="C16" s="37" cm="1">
        <f t="array" ref="C16:C30">[1]Clumped_Statistics!N2:N16</f>
        <v>13.032480950069063</v>
      </c>
      <c r="D16" s="3">
        <v>0.63171985300827138</v>
      </c>
      <c r="E16" s="3">
        <v>1.708881697099034E-2</v>
      </c>
      <c r="F16" s="23" cm="1">
        <f t="array" ref="F16:F30">[1]Clumped_Statistics!E2:E16</f>
        <v>-6.1861320065081635</v>
      </c>
      <c r="G16" s="23">
        <f>F16*1.03091+30.91</f>
        <v>24.53265465317067</v>
      </c>
      <c r="H16" s="23">
        <f>EXP((16.1*1000/(273.15+C16)-24.6)/1000)</f>
        <v>1.032164249887269</v>
      </c>
      <c r="I16" s="23">
        <f>-1.39/(273.15+C16)+0.5305</f>
        <v>0.52564295915184789</v>
      </c>
      <c r="J16" s="23">
        <f>(1000+G16)/H16-1000</f>
        <v>-7.393779851347972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">
      <c r="A17" s="35">
        <v>1630</v>
      </c>
      <c r="B17" s="39">
        <v>3.875</v>
      </c>
      <c r="C17" s="37">
        <v>11.645939936168702</v>
      </c>
      <c r="D17" s="3">
        <v>0.65880055949999994</v>
      </c>
      <c r="E17" s="3">
        <v>6.4656366218524917E-3</v>
      </c>
      <c r="F17" s="23">
        <v>-4.8736622050000005</v>
      </c>
      <c r="G17" s="23">
        <f t="shared" ref="G17:G29" si="3">F17*1.03091+30.91</f>
        <v>25.885692896243448</v>
      </c>
      <c r="H17" s="23">
        <f>EXP((16.1*1000/(273.15+C17)-24.6)/1000)</f>
        <v>1.0324469917064123</v>
      </c>
      <c r="I17" s="23">
        <f>-1.39/(273.15+C17)+0.5305</f>
        <v>0.52561931244416071</v>
      </c>
      <c r="J17" s="23">
        <f t="shared" ref="J17:J29" si="4">(1000+G17)/H17-1000</f>
        <v>-6.3550950924119434</v>
      </c>
      <c r="M17" s="3"/>
      <c r="N17" s="3"/>
      <c r="O17" s="40" t="s">
        <v>21</v>
      </c>
      <c r="P17" s="1" t="s">
        <v>22</v>
      </c>
      <c r="Q17" s="1" t="s">
        <v>23</v>
      </c>
      <c r="R17" s="1" t="s">
        <v>24</v>
      </c>
      <c r="S17" s="2" t="s">
        <v>25</v>
      </c>
      <c r="T17" s="3"/>
      <c r="U17" s="3"/>
    </row>
    <row r="18" spans="1:21" x14ac:dyDescent="0.2">
      <c r="A18" s="35">
        <v>2210</v>
      </c>
      <c r="B18" s="36">
        <v>3.6606406250000001</v>
      </c>
      <c r="C18" s="37">
        <v>24.402488205498134</v>
      </c>
      <c r="D18" s="3">
        <v>0.59614674314577565</v>
      </c>
      <c r="E18" s="3">
        <v>2.1361289779870653E-2</v>
      </c>
      <c r="F18" s="23">
        <v>-6.0748457185243465</v>
      </c>
      <c r="G18" s="23">
        <f t="shared" si="3"/>
        <v>24.647380800316064</v>
      </c>
      <c r="H18" s="23">
        <f>EXP((16.1*1000/(273.15+C18)-24.6)/1000)</f>
        <v>1.0299477787521354</v>
      </c>
      <c r="I18" s="23">
        <f>-1.39/(273.15+C18)+0.5305</f>
        <v>0.52582855527983341</v>
      </c>
      <c r="J18" s="23">
        <f t="shared" si="4"/>
        <v>-5.1462783465013899</v>
      </c>
      <c r="M18" s="3"/>
      <c r="N18" s="3"/>
      <c r="O18" s="41">
        <v>1530</v>
      </c>
      <c r="P18" s="42" t="s">
        <v>26</v>
      </c>
      <c r="Q18" s="41"/>
      <c r="R18" s="41">
        <v>-6.1861320065081635</v>
      </c>
      <c r="S18" s="41">
        <v>-6.0687807842298023</v>
      </c>
      <c r="T18" s="3"/>
      <c r="U18" s="3"/>
    </row>
    <row r="19" spans="1:21" x14ac:dyDescent="0.2">
      <c r="A19" s="35">
        <v>2550</v>
      </c>
      <c r="B19" s="36">
        <v>3.5770410367170626</v>
      </c>
      <c r="C19" s="37">
        <v>18.409897824268256</v>
      </c>
      <c r="D19" s="3">
        <v>0.61453211664968821</v>
      </c>
      <c r="E19" s="3">
        <v>2.1717949402963722E-2</v>
      </c>
      <c r="F19" s="23">
        <v>-5.464213667782035</v>
      </c>
      <c r="G19" s="23">
        <f t="shared" si="3"/>
        <v>25.276887487746823</v>
      </c>
      <c r="H19" s="23">
        <f>EXP((16.1*1000/(273.15+C19)-24.6)/1000)</f>
        <v>1.0310938346838265</v>
      </c>
      <c r="I19" s="23">
        <f>-1.39/(273.15+C19)+0.5305</f>
        <v>0.52573254051612472</v>
      </c>
      <c r="J19" s="23">
        <f t="shared" si="4"/>
        <v>-5.6415303829874119</v>
      </c>
      <c r="M19" s="3"/>
      <c r="N19" s="3"/>
      <c r="O19" s="41">
        <v>1630</v>
      </c>
      <c r="P19" s="42" t="s">
        <v>27</v>
      </c>
      <c r="Q19" s="41"/>
      <c r="R19" s="41">
        <v>-4.8736622050000005</v>
      </c>
      <c r="S19" s="41">
        <v>-6.153898336826928</v>
      </c>
      <c r="T19" s="3"/>
      <c r="U19" s="3"/>
    </row>
    <row r="20" spans="1:21" x14ac:dyDescent="0.2">
      <c r="A20" s="35">
        <v>3670</v>
      </c>
      <c r="B20" s="39">
        <v>3.45</v>
      </c>
      <c r="C20" s="37">
        <v>14.14053938447436</v>
      </c>
      <c r="D20" s="3">
        <v>0.62790242518971795</v>
      </c>
      <c r="E20" s="3">
        <v>1.2678794785643273E-2</v>
      </c>
      <c r="F20" s="23">
        <v>-6.5821954375700464</v>
      </c>
      <c r="G20" s="23">
        <f t="shared" si="3"/>
        <v>24.124348901454663</v>
      </c>
      <c r="H20" s="23">
        <f>EXP((16.1*1000/(273.15+C20)-24.6)/1000)</f>
        <v>1.0319403128813007</v>
      </c>
      <c r="I20" s="23">
        <f>-1.39/(273.15+C20)+0.5305</f>
        <v>0.52566169240038985</v>
      </c>
      <c r="J20" s="23">
        <f t="shared" si="4"/>
        <v>-7.5740465628510947</v>
      </c>
      <c r="M20" s="3"/>
      <c r="N20" s="3"/>
      <c r="O20" s="41">
        <v>1800</v>
      </c>
      <c r="P20" s="42" t="s">
        <v>28</v>
      </c>
      <c r="Q20" s="41">
        <v>-5.5393053369396466</v>
      </c>
      <c r="R20" s="41"/>
      <c r="S20" s="41">
        <v>-6.3064177406350481</v>
      </c>
      <c r="T20" s="3"/>
      <c r="U20" s="3"/>
    </row>
    <row r="21" spans="1:21" x14ac:dyDescent="0.2">
      <c r="A21" s="35">
        <v>5020</v>
      </c>
      <c r="B21" s="36">
        <v>3.2957739130434782</v>
      </c>
      <c r="C21" s="37">
        <v>20.769942498551263</v>
      </c>
      <c r="D21" s="3">
        <v>0.60678844133333332</v>
      </c>
      <c r="E21" s="3">
        <v>1.2974536876548762E-2</v>
      </c>
      <c r="F21" s="23">
        <v>-6.5577331030000003</v>
      </c>
      <c r="G21" s="23">
        <f t="shared" si="3"/>
        <v>24.149567366786272</v>
      </c>
      <c r="H21" s="23">
        <f>EXP((16.1*1000/(273.15+C21)-24.6)/1000)</f>
        <v>1.0306367557890188</v>
      </c>
      <c r="I21" s="23">
        <f>-1.39/(273.15+C21)+0.5305</f>
        <v>0.52577082106717932</v>
      </c>
      <c r="J21" s="23">
        <f t="shared" si="4"/>
        <v>-6.2943499596676702</v>
      </c>
      <c r="M21" s="3"/>
      <c r="N21" s="3"/>
      <c r="O21" s="43">
        <v>2210</v>
      </c>
      <c r="P21" s="42" t="s">
        <v>29</v>
      </c>
      <c r="Q21" s="41">
        <v>-5.9399070358522339</v>
      </c>
      <c r="R21" s="41">
        <v>-6.0748457185243465</v>
      </c>
      <c r="S21" s="41">
        <v>-5.7682743634345082</v>
      </c>
      <c r="T21" s="3"/>
      <c r="U21" s="3"/>
    </row>
    <row r="22" spans="1:21" x14ac:dyDescent="0.2">
      <c r="A22" s="35">
        <v>5130</v>
      </c>
      <c r="B22" s="44">
        <v>3.2840086959999999</v>
      </c>
      <c r="C22" s="37">
        <v>13.907555357546158</v>
      </c>
      <c r="D22" s="3">
        <v>0.62853814050000001</v>
      </c>
      <c r="E22" s="3">
        <v>6.6858904846972232E-3</v>
      </c>
      <c r="F22" s="23">
        <v>-5.8044245019999998</v>
      </c>
      <c r="G22" s="23">
        <f t="shared" si="3"/>
        <v>24.92616073664318</v>
      </c>
      <c r="H22" s="23">
        <f>EXP((16.1*1000/(273.15+C22)-24.6)/1000)</f>
        <v>1.0319872510533081</v>
      </c>
      <c r="I22" s="23">
        <f>-1.39/(273.15+C22)+0.5305</f>
        <v>0.52565776549316501</v>
      </c>
      <c r="J22" s="45">
        <f t="shared" si="4"/>
        <v>-6.8422263060498381</v>
      </c>
      <c r="M22" s="3"/>
      <c r="N22" s="3"/>
      <c r="O22" s="41">
        <v>2550</v>
      </c>
      <c r="P22" s="42" t="s">
        <v>28</v>
      </c>
      <c r="Q22" s="41"/>
      <c r="R22" s="41">
        <v>-5.464213667782035</v>
      </c>
      <c r="S22" s="41">
        <v>-5.1092091450993644</v>
      </c>
      <c r="T22" s="3"/>
      <c r="U22" s="3"/>
    </row>
    <row r="23" spans="1:21" x14ac:dyDescent="0.2">
      <c r="A23" s="35">
        <v>5365</v>
      </c>
      <c r="B23" s="36">
        <v>3.2588739130434781</v>
      </c>
      <c r="C23" s="37">
        <v>16.813100170540338</v>
      </c>
      <c r="D23" s="3">
        <v>0.61907208600000008</v>
      </c>
      <c r="E23" s="3">
        <v>6.204242579371631E-3</v>
      </c>
      <c r="F23" s="23">
        <v>-5.7468283499999995</v>
      </c>
      <c r="G23" s="23">
        <f t="shared" si="3"/>
        <v>24.985537185701499</v>
      </c>
      <c r="H23" s="23">
        <f>EXP((16.1*1000/(273.15+C23)-24.6)/1000)</f>
        <v>1.0314074299242411</v>
      </c>
      <c r="I23" s="23">
        <f>-1.39/(273.15+C23)+0.5305</f>
        <v>0.52570628659583762</v>
      </c>
      <c r="J23" s="45">
        <f t="shared" si="4"/>
        <v>-6.2263394195358615</v>
      </c>
      <c r="M23" s="3"/>
      <c r="N23" s="3"/>
      <c r="O23" s="43">
        <v>3670</v>
      </c>
      <c r="P23" s="42" t="s">
        <v>26</v>
      </c>
      <c r="Q23" s="41">
        <v>-6.7471298972346405</v>
      </c>
      <c r="R23" s="41">
        <v>-6.5821954375700464</v>
      </c>
      <c r="S23" s="41">
        <v>-6.3695101111322279</v>
      </c>
      <c r="T23" s="3"/>
      <c r="U23" s="3"/>
    </row>
    <row r="24" spans="1:21" x14ac:dyDescent="0.2">
      <c r="A24" s="35">
        <v>6690</v>
      </c>
      <c r="B24" s="36">
        <v>3.11913793103448</v>
      </c>
      <c r="C24" s="37">
        <v>3.2939171658659916</v>
      </c>
      <c r="D24" s="3">
        <v>0.66581926400000002</v>
      </c>
      <c r="E24" s="3">
        <v>1.3574856389980107E-2</v>
      </c>
      <c r="F24" s="23">
        <v>-5.646577612333334</v>
      </c>
      <c r="G24" s="23">
        <f t="shared" si="3"/>
        <v>25.088886673669442</v>
      </c>
      <c r="H24" s="23">
        <f>EXP((16.1*1000/(273.15+C24)-24.6)/1000)</f>
        <v>1.0342118726253429</v>
      </c>
      <c r="I24" s="23">
        <f>-1.39/(273.15+C24)+0.5305</f>
        <v>0.52547185536129559</v>
      </c>
      <c r="J24" s="45">
        <f t="shared" si="4"/>
        <v>-8.8211963072079698</v>
      </c>
      <c r="M24" s="3"/>
      <c r="N24" s="3"/>
      <c r="O24" s="41">
        <v>4120</v>
      </c>
      <c r="P24" s="42" t="s">
        <v>30</v>
      </c>
      <c r="Q24" s="41">
        <v>-5.8445185700688835</v>
      </c>
      <c r="R24" s="41"/>
      <c r="S24" s="41">
        <v>-5.7306305457769113</v>
      </c>
      <c r="T24" s="3"/>
      <c r="U24" s="3"/>
    </row>
    <row r="25" spans="1:21" x14ac:dyDescent="0.2">
      <c r="A25" s="35">
        <v>7170</v>
      </c>
      <c r="B25" s="36">
        <v>2.9851653846153847</v>
      </c>
      <c r="C25" s="37">
        <v>13.872664930944268</v>
      </c>
      <c r="D25" s="3">
        <v>0.62900080899999999</v>
      </c>
      <c r="E25" s="3">
        <v>2.2013028886359323E-2</v>
      </c>
      <c r="F25" s="23">
        <v>-5.2807279245000007</v>
      </c>
      <c r="G25" s="23">
        <f t="shared" si="3"/>
        <v>25.466044775353705</v>
      </c>
      <c r="H25" s="23">
        <f>EXP((16.1*1000/(273.15+C25)-24.6)/1000)</f>
        <v>1.0319942870041061</v>
      </c>
      <c r="I25" s="23">
        <f>-1.39/(273.15+C25)+0.5305</f>
        <v>0.52565717687195734</v>
      </c>
      <c r="J25" s="45">
        <f t="shared" si="4"/>
        <v>-6.3258511320871094</v>
      </c>
      <c r="M25" s="3"/>
      <c r="N25" s="3"/>
      <c r="O25" s="43">
        <v>5020</v>
      </c>
      <c r="P25" s="41" t="s">
        <v>27</v>
      </c>
      <c r="Q25" s="41">
        <v>-6.1005066239583252</v>
      </c>
      <c r="R25" s="41">
        <v>-6.5577331030000003</v>
      </c>
      <c r="S25" s="41">
        <v>-5.0144436357553142</v>
      </c>
      <c r="T25" s="3"/>
      <c r="U25" s="3"/>
    </row>
    <row r="26" spans="1:21" x14ac:dyDescent="0.2">
      <c r="A26" s="35">
        <v>7770</v>
      </c>
      <c r="B26" s="36">
        <v>2.8810884615384618</v>
      </c>
      <c r="C26" s="37">
        <v>17.629639758380506</v>
      </c>
      <c r="D26" s="3">
        <v>0.61653015799999999</v>
      </c>
      <c r="E26" s="3">
        <v>1.0949674371680771E-2</v>
      </c>
      <c r="F26" s="23">
        <v>-5.2672073680000002</v>
      </c>
      <c r="G26" s="23">
        <f t="shared" si="3"/>
        <v>25.479983252255121</v>
      </c>
      <c r="H26" s="23">
        <f>EXP((16.1*1000/(273.15+C26)-24.6)/1000)</f>
        <v>1.0312466274260534</v>
      </c>
      <c r="I26" s="23">
        <f>-1.39/(273.15+C26)+0.5305</f>
        <v>0.52571974784357323</v>
      </c>
      <c r="J26" s="45">
        <f t="shared" si="4"/>
        <v>-5.5919156683125948</v>
      </c>
      <c r="M26" s="3"/>
      <c r="N26" s="3"/>
      <c r="O26" s="41">
        <v>5080</v>
      </c>
      <c r="P26" s="41" t="s">
        <v>28</v>
      </c>
      <c r="Q26" s="41">
        <v>-6.0200448097649497</v>
      </c>
      <c r="R26" s="41"/>
      <c r="S26" s="41">
        <v>-5.9095662655948376</v>
      </c>
      <c r="T26" s="3"/>
      <c r="U26" s="3"/>
    </row>
    <row r="27" spans="1:21" x14ac:dyDescent="0.2">
      <c r="A27" s="35">
        <v>7810</v>
      </c>
      <c r="B27" s="36">
        <v>2.8741500000000002</v>
      </c>
      <c r="C27" s="37">
        <v>4.5126437789767424</v>
      </c>
      <c r="D27" s="3">
        <v>0.66142838999999998</v>
      </c>
      <c r="E27" s="3">
        <v>1.6722769206466627E-2</v>
      </c>
      <c r="F27" s="23">
        <v>-5.8593444766666662</v>
      </c>
      <c r="G27" s="23">
        <f t="shared" si="3"/>
        <v>24.869543185559568</v>
      </c>
      <c r="H27" s="23">
        <f>EXP((16.1*1000/(273.15+C27)-24.6)/1000)</f>
        <v>1.033947533353327</v>
      </c>
      <c r="I27" s="23">
        <f>-1.39/(273.15+C27)+0.5305</f>
        <v>0.52549392507007009</v>
      </c>
      <c r="J27" s="45">
        <f t="shared" si="4"/>
        <v>-8.7799330961458963</v>
      </c>
      <c r="M27" s="3"/>
      <c r="N27" s="3"/>
      <c r="O27" s="41">
        <v>5130</v>
      </c>
      <c r="P27" s="41" t="s">
        <v>26</v>
      </c>
      <c r="Q27" s="41"/>
      <c r="R27" s="41">
        <v>-5.8044245019999998</v>
      </c>
      <c r="S27" s="41">
        <v>-6.8577954537440124</v>
      </c>
      <c r="T27" s="3"/>
      <c r="U27" s="3"/>
    </row>
    <row r="28" spans="1:21" x14ac:dyDescent="0.2">
      <c r="A28" s="35">
        <v>8170</v>
      </c>
      <c r="B28" s="36">
        <v>2.8117038461538462</v>
      </c>
      <c r="C28" s="37">
        <v>12.451038840750167</v>
      </c>
      <c r="D28" s="3">
        <v>0.63354470600000001</v>
      </c>
      <c r="E28" s="3">
        <v>1.3409931971620114E-2</v>
      </c>
      <c r="F28" s="23">
        <v>-5.6291681433333336</v>
      </c>
      <c r="G28" s="23">
        <f t="shared" si="3"/>
        <v>25.106834269356234</v>
      </c>
      <c r="H28" s="23">
        <f>EXP((16.1*1000/(273.15+C28)-24.6)/1000)</f>
        <v>1.0322824732242173</v>
      </c>
      <c r="I28" s="23">
        <f>-1.39/(273.15+C28)+0.5305</f>
        <v>0.52563307092424461</v>
      </c>
      <c r="J28" s="45">
        <f t="shared" si="4"/>
        <v>-6.9512358690433302</v>
      </c>
      <c r="M28" s="3"/>
      <c r="N28" s="3"/>
      <c r="O28" s="41">
        <v>5365</v>
      </c>
      <c r="P28" s="41" t="s">
        <v>31</v>
      </c>
      <c r="Q28" s="41"/>
      <c r="R28" s="41">
        <v>-5.7468283499999995</v>
      </c>
      <c r="S28" s="41">
        <v>-5.5011395603524749</v>
      </c>
      <c r="T28" s="3"/>
      <c r="U28" s="3"/>
    </row>
    <row r="29" spans="1:21" x14ac:dyDescent="0.2">
      <c r="A29" s="35">
        <v>8460</v>
      </c>
      <c r="B29" s="36">
        <v>2.7614000000000001</v>
      </c>
      <c r="C29" s="37">
        <v>4.8612366404932175</v>
      </c>
      <c r="D29" s="3">
        <v>0.66045723821653046</v>
      </c>
      <c r="E29" s="3">
        <v>2.7789230338814277E-2</v>
      </c>
      <c r="F29" s="23">
        <v>-5.6683036076245497</v>
      </c>
      <c r="G29" s="23">
        <f t="shared" si="3"/>
        <v>25.066489127863775</v>
      </c>
      <c r="H29" s="23">
        <f>EXP((16.1*1000/(273.15+C29)-24.6)/1000)</f>
        <v>1.0338723628816719</v>
      </c>
      <c r="I29" s="23">
        <f>-1.39/(273.15+C29)+0.5305</f>
        <v>0.52550020208968218</v>
      </c>
      <c r="J29" s="45">
        <f t="shared" si="4"/>
        <v>-8.5173702963330697</v>
      </c>
      <c r="M29" s="3"/>
      <c r="N29" s="3"/>
      <c r="O29" s="41">
        <v>5620</v>
      </c>
      <c r="P29" s="41" t="s">
        <v>27</v>
      </c>
      <c r="Q29" s="41">
        <v>-6.3009080650416003</v>
      </c>
      <c r="R29" s="41"/>
      <c r="S29" s="41">
        <v>-5.9050333595470761</v>
      </c>
      <c r="T29" s="3"/>
      <c r="U29" s="3"/>
    </row>
    <row r="30" spans="1:21" x14ac:dyDescent="0.2">
      <c r="A30" s="46">
        <v>8515</v>
      </c>
      <c r="B30" s="47">
        <v>2.7518596153846153</v>
      </c>
      <c r="C30" s="38">
        <v>-7.1618335991728657</v>
      </c>
      <c r="D30" s="38">
        <v>0.70697554299998444</v>
      </c>
      <c r="E30" s="38">
        <v>2.1824801303826136E-2</v>
      </c>
      <c r="F30" s="38">
        <v>-5.0185485151955653</v>
      </c>
      <c r="G30" s="30">
        <f>F30*1.03091+30.91</f>
        <v>25.736328150199739</v>
      </c>
      <c r="H30" s="30">
        <f>EXP((16.1*1000/(273.15+C30)-24.6)/1000)</f>
        <v>1.0365822554081547</v>
      </c>
      <c r="I30" s="30">
        <f>-1.39/(273.15+C30)+0.5305</f>
        <v>0.52527420360909827</v>
      </c>
      <c r="J30" s="48">
        <f>(1000+G30)/H30-1000</f>
        <v>-10.463161221763698</v>
      </c>
      <c r="M30" s="3"/>
      <c r="N30" s="3"/>
      <c r="O30" s="43">
        <v>6690</v>
      </c>
      <c r="P30" s="41" t="s">
        <v>31</v>
      </c>
      <c r="Q30" s="42">
        <v>-6.0083948950243196</v>
      </c>
      <c r="R30" s="42">
        <v>-5.646577612333334</v>
      </c>
      <c r="S30" s="41">
        <v>-4.8815026419990657</v>
      </c>
      <c r="T30" s="3"/>
      <c r="U30" s="3"/>
    </row>
    <row r="31" spans="1:21" ht="17" thickBo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3">
        <v>7170</v>
      </c>
      <c r="P31" s="41" t="s">
        <v>28</v>
      </c>
      <c r="Q31" s="41">
        <v>-5.1880623460988149</v>
      </c>
      <c r="R31" s="42">
        <v>-5.2807279245000007</v>
      </c>
      <c r="S31" s="41">
        <v>-5.005691860887433</v>
      </c>
      <c r="T31" s="3"/>
      <c r="U31" s="3"/>
    </row>
    <row r="32" spans="1:21" x14ac:dyDescent="0.2">
      <c r="A32" s="75" t="s">
        <v>32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7"/>
      <c r="M32" s="3"/>
      <c r="N32" s="3"/>
      <c r="O32" s="41">
        <v>7430</v>
      </c>
      <c r="P32" s="41" t="s">
        <v>28</v>
      </c>
      <c r="Q32" s="41">
        <v>-5.7583130087328804</v>
      </c>
      <c r="R32" s="41"/>
      <c r="S32" s="41">
        <v>-5.4388338025736482</v>
      </c>
      <c r="T32" s="3"/>
      <c r="U32" s="3"/>
    </row>
    <row r="33" spans="1:21" x14ac:dyDescent="0.2">
      <c r="A33" s="49" t="s">
        <v>33</v>
      </c>
      <c r="B33" s="50" t="s">
        <v>1</v>
      </c>
      <c r="C33" s="50" t="s">
        <v>34</v>
      </c>
      <c r="D33" s="50" t="s">
        <v>35</v>
      </c>
      <c r="E33" s="50" t="s">
        <v>36</v>
      </c>
      <c r="F33" s="51" t="s">
        <v>37</v>
      </c>
      <c r="G33" s="51" t="s">
        <v>38</v>
      </c>
      <c r="H33" s="51" t="s">
        <v>36</v>
      </c>
      <c r="I33" s="51" t="s">
        <v>37</v>
      </c>
      <c r="J33" s="51" t="s">
        <v>39</v>
      </c>
      <c r="K33" s="51" t="s">
        <v>36</v>
      </c>
      <c r="L33" s="52" t="s">
        <v>37</v>
      </c>
      <c r="M33" s="3"/>
      <c r="N33" s="3"/>
      <c r="O33" s="43">
        <v>7770</v>
      </c>
      <c r="P33" s="41" t="s">
        <v>28</v>
      </c>
      <c r="Q33" s="42">
        <v>-6.7120365232187247</v>
      </c>
      <c r="R33" s="42">
        <v>-5.2672073680000002</v>
      </c>
      <c r="S33" s="41">
        <v>-5.8624056604699613</v>
      </c>
      <c r="T33" s="3"/>
      <c r="U33" s="3"/>
    </row>
    <row r="34" spans="1:21" x14ac:dyDescent="0.2">
      <c r="A34" s="53">
        <v>1800</v>
      </c>
      <c r="B34" s="22">
        <v>3.812084375</v>
      </c>
      <c r="C34" s="22">
        <v>25.199474735095549</v>
      </c>
      <c r="D34" s="54">
        <v>-5.5393053369396466</v>
      </c>
      <c r="E34" s="22">
        <v>0.31004357364738361</v>
      </c>
      <c r="F34" s="55">
        <v>0.2192339133893757</v>
      </c>
      <c r="G34" s="55">
        <v>-0.10148398555457661</v>
      </c>
      <c r="H34" s="55">
        <v>2.0172950841368777E-3</v>
      </c>
      <c r="I34" s="55">
        <v>1.4264430336474732E-3</v>
      </c>
      <c r="J34" s="55">
        <v>13.203838674575874</v>
      </c>
      <c r="K34" s="55">
        <v>0.1616857118016822</v>
      </c>
      <c r="L34" s="56">
        <v>0.11432906323594327</v>
      </c>
      <c r="M34" s="3"/>
      <c r="N34" s="3"/>
      <c r="O34" s="43">
        <v>7810</v>
      </c>
      <c r="P34" s="41" t="s">
        <v>40</v>
      </c>
      <c r="Q34" s="42">
        <v>-6.2262747825226565</v>
      </c>
      <c r="R34" s="42">
        <v>-5.8593444766666662</v>
      </c>
      <c r="S34" s="41">
        <v>-6.4737375471153396</v>
      </c>
      <c r="T34" s="3"/>
      <c r="U34" s="3"/>
    </row>
    <row r="35" spans="1:21" x14ac:dyDescent="0.2">
      <c r="A35" s="53">
        <v>2210</v>
      </c>
      <c r="B35" s="57">
        <v>3.6606406250000001</v>
      </c>
      <c r="C35" s="55">
        <v>24.786490437669574</v>
      </c>
      <c r="D35" s="58">
        <v>-5.9399070358522339</v>
      </c>
      <c r="E35" s="22">
        <v>0.45565534291679538</v>
      </c>
      <c r="F35" s="22">
        <v>0.3221969828603477</v>
      </c>
      <c r="G35" s="55">
        <v>-0.14523617110539089</v>
      </c>
      <c r="H35" s="55">
        <v>4.2132601013775445E-2</v>
      </c>
      <c r="I35" s="55">
        <v>2.9792247885867821E-2</v>
      </c>
      <c r="J35" s="55">
        <v>12.942030779984144</v>
      </c>
      <c r="K35" s="55">
        <v>0.19845342004629205</v>
      </c>
      <c r="L35" s="56">
        <v>0.14032775906439543</v>
      </c>
      <c r="M35" s="3"/>
      <c r="N35" s="3"/>
      <c r="O35" s="43">
        <v>8170</v>
      </c>
      <c r="P35" s="41" t="s">
        <v>41</v>
      </c>
      <c r="Q35" s="42">
        <v>-5.4613286885794157</v>
      </c>
      <c r="R35" s="42">
        <v>-5.6291681433333336</v>
      </c>
      <c r="S35" s="41">
        <v>-5.5440859367279716</v>
      </c>
      <c r="T35" s="3"/>
      <c r="U35" s="3"/>
    </row>
    <row r="36" spans="1:21" x14ac:dyDescent="0.2">
      <c r="A36" s="53">
        <v>3670</v>
      </c>
      <c r="B36" s="59">
        <v>3.4483498920086393</v>
      </c>
      <c r="C36" s="22">
        <v>23.954316317641837</v>
      </c>
      <c r="D36" s="54">
        <v>-6.7471298972346405</v>
      </c>
      <c r="E36" s="22">
        <v>0.1959344530729599</v>
      </c>
      <c r="F36" s="22">
        <v>0.11312280922519551</v>
      </c>
      <c r="G36" s="55">
        <v>-9.2077604860147488E-2</v>
      </c>
      <c r="H36" s="55">
        <v>2.9450071197729522E-2</v>
      </c>
      <c r="I36" s="55">
        <v>1.7003006533662785E-2</v>
      </c>
      <c r="J36" s="55">
        <v>12.555801410854741</v>
      </c>
      <c r="K36" s="55">
        <v>0.10975991141036522</v>
      </c>
      <c r="L36" s="56">
        <v>6.3369914399003843E-2</v>
      </c>
      <c r="M36" s="3"/>
      <c r="N36" s="3"/>
      <c r="O36" s="41">
        <v>8460</v>
      </c>
      <c r="P36" s="41" t="s">
        <v>30</v>
      </c>
      <c r="Q36" s="41"/>
      <c r="R36" s="42">
        <v>-5.6683036076245497</v>
      </c>
      <c r="S36" s="41">
        <v>-5.0913004969296791</v>
      </c>
      <c r="T36" s="3"/>
      <c r="U36" s="3"/>
    </row>
    <row r="37" spans="1:21" x14ac:dyDescent="0.2">
      <c r="A37" s="53">
        <v>4120</v>
      </c>
      <c r="B37" s="59">
        <v>3.3966436285097195</v>
      </c>
      <c r="C37" s="55">
        <v>24.884827360930288</v>
      </c>
      <c r="D37" s="58">
        <v>-5.8445185700688835</v>
      </c>
      <c r="E37" s="22">
        <v>0.10314762103373615</v>
      </c>
      <c r="F37" s="22">
        <v>5.9552306770097076E-2</v>
      </c>
      <c r="G37" s="55">
        <v>-7.6437176003685423E-2</v>
      </c>
      <c r="H37" s="55">
        <v>2.4540715247657236E-2</v>
      </c>
      <c r="I37" s="55">
        <v>1.4168588554340859E-2</v>
      </c>
      <c r="J37" s="55">
        <v>13.062751670567506</v>
      </c>
      <c r="K37" s="55">
        <v>3.2866234019667068E-2</v>
      </c>
      <c r="L37" s="56">
        <v>1.897532905850402E-2</v>
      </c>
      <c r="M37" s="3"/>
      <c r="N37" s="3"/>
      <c r="O37" s="43">
        <v>8515</v>
      </c>
      <c r="P37" s="41" t="s">
        <v>27</v>
      </c>
      <c r="Q37" s="42">
        <v>-6.1913121643426265</v>
      </c>
      <c r="R37" s="41">
        <v>-5.0185485151955653</v>
      </c>
      <c r="S37" s="41">
        <v>-4.7550421446843503</v>
      </c>
      <c r="T37" s="3"/>
      <c r="U37" s="3"/>
    </row>
    <row r="38" spans="1:21" x14ac:dyDescent="0.2">
      <c r="A38" s="53">
        <v>5020</v>
      </c>
      <c r="B38" s="59">
        <v>3.2957739130434782</v>
      </c>
      <c r="C38" s="55">
        <v>24.620926716295124</v>
      </c>
      <c r="D38" s="58">
        <v>-6.1005066239583252</v>
      </c>
      <c r="E38" s="22"/>
      <c r="F38" s="22"/>
      <c r="G38" s="55">
        <v>-0.11312626393413971</v>
      </c>
      <c r="H38" s="55"/>
      <c r="I38" s="55"/>
      <c r="J38" s="55">
        <v>12.886723042269686</v>
      </c>
      <c r="K38" s="55"/>
      <c r="L38" s="56"/>
      <c r="M38" s="3"/>
      <c r="N38" s="3"/>
      <c r="O38" s="41">
        <v>8950</v>
      </c>
      <c r="P38" s="41" t="s">
        <v>26</v>
      </c>
      <c r="Q38" s="41">
        <v>-6.2251408609878309</v>
      </c>
      <c r="R38" s="41"/>
      <c r="S38" s="41">
        <v>-6.0019563443648316</v>
      </c>
      <c r="T38" s="3"/>
      <c r="U38" s="3"/>
    </row>
    <row r="39" spans="1:21" x14ac:dyDescent="0.2">
      <c r="A39" s="53">
        <v>5080</v>
      </c>
      <c r="B39" s="59">
        <v>3.2893565217391303</v>
      </c>
      <c r="C39" s="60">
        <v>24.703875605165216</v>
      </c>
      <c r="D39" s="61">
        <v>-6.0200448097649497</v>
      </c>
      <c r="E39" s="3">
        <v>1.9026432248054674</v>
      </c>
      <c r="F39" s="3">
        <v>0.95132161240273372</v>
      </c>
      <c r="G39" s="3">
        <v>-1.5600258342765017E-2</v>
      </c>
      <c r="H39" s="3">
        <v>0.1746444744426211</v>
      </c>
      <c r="I39" s="3">
        <v>8.732223722131055E-2</v>
      </c>
      <c r="J39" s="3">
        <v>13.028046061184469</v>
      </c>
      <c r="K39" s="3">
        <v>0.66148174682230609</v>
      </c>
      <c r="L39" s="3">
        <v>0.33074087341115305</v>
      </c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">
      <c r="A40" s="53">
        <v>5620</v>
      </c>
      <c r="B40" s="59">
        <v>3.2315999999999998</v>
      </c>
      <c r="C40" s="22">
        <v>24.414330866667964</v>
      </c>
      <c r="D40" s="54">
        <v>-6.3009080650416003</v>
      </c>
      <c r="E40" s="22">
        <v>0.1323313968035657</v>
      </c>
      <c r="F40" s="22">
        <v>7.640156756677785E-2</v>
      </c>
      <c r="G40" s="55">
        <v>-7.1248097580689063E-2</v>
      </c>
      <c r="H40" s="55">
        <v>4.3131486610211954E-2</v>
      </c>
      <c r="I40" s="55">
        <v>2.4901975404954611E-2</v>
      </c>
      <c r="J40" s="55">
        <v>12.819518600019997</v>
      </c>
      <c r="K40" s="55">
        <v>0.10709284632241417</v>
      </c>
      <c r="L40" s="56">
        <v>6.1830083652529046E-2</v>
      </c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">
      <c r="A41" s="53">
        <v>6690</v>
      </c>
      <c r="B41" s="59">
        <v>3.1191379310344827</v>
      </c>
      <c r="C41" s="55">
        <v>24.715885618770479</v>
      </c>
      <c r="D41" s="58">
        <v>-6.0083948950243196</v>
      </c>
      <c r="E41" s="22">
        <v>0.35857132930369245</v>
      </c>
      <c r="F41" s="22">
        <v>0.25354821848971554</v>
      </c>
      <c r="G41" s="55">
        <v>-0.15665622144722668</v>
      </c>
      <c r="H41" s="55">
        <v>4.0146840065029367E-2</v>
      </c>
      <c r="I41" s="55">
        <v>2.8388102853194038E-2</v>
      </c>
      <c r="J41" s="55">
        <v>12.893331385263586</v>
      </c>
      <c r="K41" s="55">
        <v>0.14917882180732006</v>
      </c>
      <c r="L41" s="56">
        <v>0.10548535650937563</v>
      </c>
      <c r="M41" s="3"/>
      <c r="N41" s="3"/>
      <c r="O41" s="62"/>
      <c r="P41" s="63"/>
      <c r="Q41" s="3"/>
      <c r="R41" s="3"/>
      <c r="S41" s="3"/>
      <c r="T41" s="3"/>
      <c r="U41" s="3"/>
    </row>
    <row r="42" spans="1:21" x14ac:dyDescent="0.2">
      <c r="A42" s="53">
        <v>7170</v>
      </c>
      <c r="B42" s="59">
        <v>2.9851653846153847</v>
      </c>
      <c r="C42" s="61">
        <v>25.561574646783271</v>
      </c>
      <c r="D42" s="3">
        <v>-5.1880623460988149</v>
      </c>
      <c r="E42" s="3">
        <v>0.15358797619839684</v>
      </c>
      <c r="F42" s="3">
        <v>8.8674059402434252E-2</v>
      </c>
      <c r="G42" s="3">
        <v>-5.1582429768485483E-2</v>
      </c>
      <c r="H42" s="3">
        <v>1.4150286119238258E-2</v>
      </c>
      <c r="I42" s="3">
        <v>8.1696715000524334E-3</v>
      </c>
      <c r="J42" s="3">
        <v>13.444928983733083</v>
      </c>
      <c r="K42" s="3">
        <v>8.9390056372898583E-2</v>
      </c>
      <c r="L42" s="56">
        <v>5.1609373109768819E-2</v>
      </c>
      <c r="M42" s="3"/>
      <c r="N42" s="3"/>
      <c r="O42" s="62"/>
      <c r="P42" s="63"/>
      <c r="Q42" s="3"/>
      <c r="R42" s="3"/>
      <c r="S42" s="3"/>
      <c r="T42" s="3"/>
      <c r="U42" s="3"/>
    </row>
    <row r="43" spans="1:21" x14ac:dyDescent="0.2">
      <c r="A43" s="53">
        <v>7430</v>
      </c>
      <c r="B43" s="59">
        <v>2.9400653846153846</v>
      </c>
      <c r="C43" s="55">
        <v>24.973697536167187</v>
      </c>
      <c r="D43" s="58">
        <v>-5.7583130087328804</v>
      </c>
      <c r="E43" s="22">
        <v>0.1277684342553192</v>
      </c>
      <c r="F43" s="22">
        <v>9.0345926283523767E-2</v>
      </c>
      <c r="G43" s="55">
        <v>-0.14900033753449282</v>
      </c>
      <c r="H43" s="55">
        <v>5.2493115821340844E-3</v>
      </c>
      <c r="I43" s="55">
        <v>3.7118238162880952E-3</v>
      </c>
      <c r="J43" s="55">
        <v>13.037111961561781</v>
      </c>
      <c r="K43" s="55">
        <v>6.2212421704675162E-2</v>
      </c>
      <c r="L43" s="56">
        <v>4.3990825261412958E-2</v>
      </c>
      <c r="M43" s="3"/>
      <c r="N43" s="3"/>
      <c r="O43" s="62"/>
      <c r="P43" s="63"/>
      <c r="Q43" s="3"/>
      <c r="R43" s="3"/>
      <c r="S43" s="3"/>
      <c r="T43" s="3"/>
      <c r="U43" s="3"/>
    </row>
    <row r="44" spans="1:21" x14ac:dyDescent="0.2">
      <c r="A44" s="53">
        <v>7770</v>
      </c>
      <c r="B44" s="59">
        <v>2.8810884615384618</v>
      </c>
      <c r="C44" s="55">
        <v>23.990494427848585</v>
      </c>
      <c r="D44" s="58">
        <v>-6.7120365232187247</v>
      </c>
      <c r="E44" s="22"/>
      <c r="F44" s="22"/>
      <c r="G44" s="55">
        <v>-0.10575728840298027</v>
      </c>
      <c r="H44" s="55"/>
      <c r="I44" s="55"/>
      <c r="J44" s="55">
        <v>12.561223769501073</v>
      </c>
      <c r="K44" s="55"/>
      <c r="L44" s="56"/>
      <c r="M44" s="3"/>
      <c r="N44" s="3"/>
      <c r="O44" s="62"/>
      <c r="P44" s="63"/>
      <c r="Q44" s="3"/>
      <c r="R44" s="3"/>
      <c r="S44" s="3"/>
      <c r="T44" s="3"/>
      <c r="U44" s="3"/>
    </row>
    <row r="45" spans="1:21" x14ac:dyDescent="0.2">
      <c r="A45" s="53">
        <v>7810</v>
      </c>
      <c r="B45" s="59">
        <v>2.8741500000000002</v>
      </c>
      <c r="C45" s="60">
        <v>24.491271063949569</v>
      </c>
      <c r="D45" s="61">
        <v>-6.2262747825226565</v>
      </c>
      <c r="E45" s="3">
        <v>0.1981469696132952</v>
      </c>
      <c r="F45" s="3">
        <v>0.14011106588512581</v>
      </c>
      <c r="G45" s="3">
        <v>-6.3402945777584804E-2</v>
      </c>
      <c r="H45" s="3">
        <v>2.3450801666127351E-2</v>
      </c>
      <c r="I45" s="3">
        <v>1.6582220882379435E-2</v>
      </c>
      <c r="J45" s="3">
        <v>12.867988175987788</v>
      </c>
      <c r="K45" s="3">
        <v>8.4856203364593236E-2</v>
      </c>
      <c r="L45" s="3">
        <v>6.0002396824848606E-2</v>
      </c>
      <c r="M45" s="3"/>
      <c r="N45" s="3"/>
      <c r="O45" s="62"/>
      <c r="P45" s="63"/>
      <c r="Q45" s="3"/>
      <c r="R45" s="3"/>
      <c r="S45" s="3"/>
      <c r="T45" s="3"/>
      <c r="U45" s="3"/>
    </row>
    <row r="46" spans="1:21" x14ac:dyDescent="0.2">
      <c r="A46" s="53">
        <v>8170</v>
      </c>
      <c r="B46" s="59">
        <v>2.8117038461538462</v>
      </c>
      <c r="C46" s="22">
        <v>25.279861641656595</v>
      </c>
      <c r="D46" s="54">
        <v>-5.4613286885794157</v>
      </c>
      <c r="E46" s="22"/>
      <c r="F46" s="22"/>
      <c r="G46" s="55">
        <v>-8.9660979774365046E-2</v>
      </c>
      <c r="H46" s="55"/>
      <c r="I46" s="55"/>
      <c r="J46" s="55">
        <v>13.258105967020319</v>
      </c>
      <c r="K46" s="55"/>
      <c r="L46" s="56"/>
      <c r="M46" s="3"/>
      <c r="N46" s="3"/>
      <c r="O46" s="62"/>
      <c r="P46" s="63"/>
      <c r="Q46" s="3"/>
      <c r="R46" s="3"/>
      <c r="S46" s="3"/>
      <c r="T46" s="3"/>
      <c r="U46" s="3"/>
    </row>
    <row r="47" spans="1:21" x14ac:dyDescent="0.2">
      <c r="A47" s="53">
        <v>8515</v>
      </c>
      <c r="B47" s="59">
        <v>2.7518596153846153</v>
      </c>
      <c r="C47" s="55">
        <v>24.527314376657543</v>
      </c>
      <c r="D47" s="58">
        <v>-6.1913121643426265</v>
      </c>
      <c r="E47" s="22">
        <v>2.4662426335799732</v>
      </c>
      <c r="F47" s="22">
        <v>1.4238858483843291</v>
      </c>
      <c r="G47" s="55">
        <v>-8.2966029861732515E-2</v>
      </c>
      <c r="H47" s="55">
        <v>2.600130153519039E-2</v>
      </c>
      <c r="I47" s="55">
        <v>1.5011858440622802E-2</v>
      </c>
      <c r="J47" s="55">
        <v>12.867455961013452</v>
      </c>
      <c r="K47" s="55">
        <v>1.317870045362926</v>
      </c>
      <c r="L47" s="56">
        <v>0.76087262544722967</v>
      </c>
      <c r="M47" s="3"/>
      <c r="N47" s="3"/>
      <c r="O47" s="62"/>
      <c r="P47" s="3"/>
      <c r="Q47" s="3"/>
      <c r="R47" s="3"/>
      <c r="S47" s="3"/>
      <c r="T47" s="3"/>
      <c r="U47" s="3"/>
    </row>
    <row r="48" spans="1:21" x14ac:dyDescent="0.2">
      <c r="A48" s="64">
        <v>8950</v>
      </c>
      <c r="B48" s="65">
        <v>2.6764038461538462</v>
      </c>
      <c r="C48" s="66">
        <v>24.492440034999035</v>
      </c>
      <c r="D48" s="67">
        <v>-6.2251408609878309</v>
      </c>
      <c r="E48" s="66">
        <v>0.39232025593330461</v>
      </c>
      <c r="F48" s="66">
        <v>0.2774123133672815</v>
      </c>
      <c r="G48" s="66">
        <v>-8.6958902534765528E-2</v>
      </c>
      <c r="H48" s="66">
        <v>3.5167482728090289E-2</v>
      </c>
      <c r="I48" s="66">
        <v>2.4867165514293427E-2</v>
      </c>
      <c r="J48" s="66">
        <v>12.845049435944725</v>
      </c>
      <c r="K48" s="66">
        <v>0.17562941713581484</v>
      </c>
      <c r="L48" s="68">
        <v>0.12418875183257549</v>
      </c>
      <c r="M48" s="3"/>
      <c r="N48" s="3"/>
      <c r="O48" s="62"/>
      <c r="P48" s="63"/>
      <c r="Q48" s="3"/>
      <c r="R48" s="3"/>
      <c r="S48" s="3"/>
      <c r="T48" s="3"/>
      <c r="U48" s="3"/>
    </row>
    <row r="49" spans="1:21" x14ac:dyDescent="0.2">
      <c r="A49" s="3"/>
      <c r="B49" s="59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2"/>
      <c r="P49" s="63"/>
      <c r="Q49" s="3"/>
      <c r="R49" s="3"/>
      <c r="S49" s="3"/>
      <c r="T49" s="3"/>
      <c r="U49" s="3"/>
    </row>
    <row r="50" spans="1:2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62"/>
      <c r="P50" s="63"/>
      <c r="Q50" s="3"/>
      <c r="R50" s="3"/>
      <c r="S50" s="3"/>
      <c r="T50" s="3"/>
      <c r="U50" s="3"/>
    </row>
    <row r="51" spans="1:2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62"/>
      <c r="P51" s="63"/>
      <c r="Q51" s="3"/>
      <c r="R51" s="3"/>
      <c r="S51" s="3"/>
      <c r="T51" s="3"/>
      <c r="U51" s="3"/>
    </row>
    <row r="52" spans="1:21" x14ac:dyDescent="0.2">
      <c r="A52" s="3"/>
      <c r="B52" s="3"/>
      <c r="C52" s="60"/>
      <c r="D52" s="61"/>
      <c r="E52" s="3"/>
      <c r="F52" s="3"/>
      <c r="G52" s="3"/>
      <c r="H52" s="3"/>
      <c r="I52" s="3"/>
      <c r="J52" s="3"/>
      <c r="K52" s="3"/>
      <c r="L52" s="3"/>
      <c r="M52" s="3"/>
      <c r="N52" s="3"/>
      <c r="O52" s="62"/>
      <c r="P52" s="63"/>
      <c r="Q52" s="3"/>
      <c r="R52" s="3"/>
      <c r="S52" s="3"/>
      <c r="T52" s="3"/>
      <c r="U52" s="3"/>
    </row>
    <row r="53" spans="1:21" x14ac:dyDescent="0.2">
      <c r="A53" s="3"/>
      <c r="B53" s="3"/>
      <c r="C53" s="60"/>
      <c r="D53" s="61"/>
      <c r="E53" s="3"/>
      <c r="F53" s="3"/>
      <c r="G53" s="3"/>
      <c r="H53" s="3"/>
      <c r="I53" s="3"/>
      <c r="J53" s="3"/>
      <c r="K53" s="3"/>
      <c r="L53" s="3"/>
      <c r="M53" s="3"/>
      <c r="N53" s="3"/>
      <c r="O53" s="62"/>
      <c r="P53" s="63"/>
      <c r="Q53" s="3"/>
      <c r="R53" s="3"/>
      <c r="S53" s="3"/>
      <c r="T53" s="3"/>
      <c r="U53" s="3"/>
    </row>
    <row r="54" spans="1:21" x14ac:dyDescent="0.2">
      <c r="A54" s="3"/>
      <c r="B54" s="3"/>
      <c r="C54" s="60"/>
      <c r="D54" s="61"/>
      <c r="E54" s="3"/>
      <c r="F54" s="3"/>
      <c r="G54" s="3"/>
      <c r="H54" s="3"/>
      <c r="I54" s="3"/>
      <c r="J54" s="3"/>
      <c r="K54" s="3"/>
      <c r="L54" s="3"/>
      <c r="M54" s="3"/>
      <c r="N54" s="3"/>
      <c r="O54" s="62"/>
      <c r="P54" s="63"/>
      <c r="Q54" s="3"/>
      <c r="R54" s="3"/>
      <c r="S54" s="3"/>
      <c r="T54" s="3"/>
      <c r="U54" s="3"/>
    </row>
    <row r="55" spans="1:21" x14ac:dyDescent="0.2">
      <c r="A55" s="3"/>
      <c r="B55" s="3"/>
      <c r="C55" s="60"/>
      <c r="D55" s="61"/>
      <c r="E55" s="3"/>
      <c r="F55" s="3"/>
      <c r="G55" s="3"/>
      <c r="H55" s="3"/>
      <c r="I55" s="3"/>
      <c r="J55" s="3"/>
      <c r="K55" s="3"/>
      <c r="L55" s="3"/>
      <c r="M55" s="3"/>
      <c r="N55" s="3"/>
      <c r="O55" s="62"/>
      <c r="P55" s="63"/>
      <c r="Q55" s="3"/>
      <c r="R55" s="3"/>
      <c r="S55" s="3"/>
      <c r="T55" s="3"/>
      <c r="U55" s="3"/>
    </row>
    <row r="56" spans="1:21" x14ac:dyDescent="0.2">
      <c r="A56" s="3"/>
      <c r="B56" s="3"/>
      <c r="C56" s="60"/>
      <c r="D56" s="61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63"/>
      <c r="Q56" s="3"/>
      <c r="R56" s="3"/>
      <c r="S56" s="3"/>
      <c r="T56" s="3"/>
      <c r="U56" s="3"/>
    </row>
    <row r="57" spans="1:2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</sheetData>
  <mergeCells count="3">
    <mergeCell ref="A1:R1"/>
    <mergeCell ref="A14:J14"/>
    <mergeCell ref="A32:L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488-E7A2-0B4D-8AEF-6B0143712F60}">
  <dimension ref="A1:H10"/>
  <sheetViews>
    <sheetView workbookViewId="0">
      <selection activeCell="C5" sqref="C5"/>
    </sheetView>
  </sheetViews>
  <sheetFormatPr baseColWidth="10" defaultRowHeight="16" x14ac:dyDescent="0.2"/>
  <sheetData>
    <row r="1" spans="1:8" x14ac:dyDescent="0.2">
      <c r="A1" s="20" t="s">
        <v>42</v>
      </c>
      <c r="B1" s="20" t="s">
        <v>43</v>
      </c>
      <c r="C1" s="39" t="s">
        <v>44</v>
      </c>
      <c r="D1" s="39" t="s">
        <v>45</v>
      </c>
      <c r="E1" s="20" t="s">
        <v>46</v>
      </c>
      <c r="F1" s="20" t="s">
        <v>47</v>
      </c>
      <c r="G1" s="69" t="s">
        <v>48</v>
      </c>
      <c r="H1" t="s">
        <v>49</v>
      </c>
    </row>
    <row r="2" spans="1:8" x14ac:dyDescent="0.2">
      <c r="A2" s="71">
        <v>3.6606406250000001</v>
      </c>
      <c r="B2" s="20">
        <v>2210</v>
      </c>
      <c r="C2" s="22">
        <v>0.59614674314577565</v>
      </c>
      <c r="D2" s="22">
        <v>1.2332946404645924E-2</v>
      </c>
      <c r="E2" s="20">
        <v>24.786490437669574</v>
      </c>
      <c r="F2" s="20">
        <v>0.3221969828603477</v>
      </c>
      <c r="G2" s="20">
        <v>12.942030779984144</v>
      </c>
      <c r="H2" s="20">
        <v>0.14032775906439543</v>
      </c>
    </row>
    <row r="3" spans="1:8" x14ac:dyDescent="0.2">
      <c r="A3" s="71">
        <v>3.45</v>
      </c>
      <c r="B3" s="20">
        <v>3670</v>
      </c>
      <c r="C3" s="22">
        <v>0.62790242518971795</v>
      </c>
      <c r="D3" s="22">
        <v>7.3201055824911676E-3</v>
      </c>
      <c r="E3" s="20">
        <v>23.954316317641837</v>
      </c>
      <c r="F3" s="20">
        <v>0.11312280922519551</v>
      </c>
      <c r="G3" s="20">
        <v>12.555801410854741</v>
      </c>
      <c r="H3" s="20">
        <v>0.1959344530729599</v>
      </c>
    </row>
    <row r="4" spans="1:8" x14ac:dyDescent="0.2">
      <c r="A4" s="71">
        <v>3.2957739130434782</v>
      </c>
      <c r="B4" s="20">
        <v>5020</v>
      </c>
      <c r="C4" s="22">
        <v>0.60678844133333332</v>
      </c>
      <c r="D4" s="22">
        <v>6.4872684382743812E-3</v>
      </c>
      <c r="E4" s="20">
        <v>24.620926716295124</v>
      </c>
      <c r="F4" s="70">
        <v>0.2</v>
      </c>
      <c r="G4" s="20">
        <v>12.886723042269686</v>
      </c>
      <c r="H4" s="70">
        <v>0.2</v>
      </c>
    </row>
    <row r="5" spans="1:8" x14ac:dyDescent="0.2">
      <c r="A5" s="71">
        <v>3.11913793103448</v>
      </c>
      <c r="B5" s="20">
        <v>6690</v>
      </c>
      <c r="C5" s="22">
        <v>0.66581926400000002</v>
      </c>
      <c r="D5" s="22">
        <v>6.7874281949900535E-3</v>
      </c>
      <c r="E5" s="20">
        <v>24.715885618770479</v>
      </c>
      <c r="F5" s="20">
        <v>0.25354821848971554</v>
      </c>
      <c r="G5" s="20">
        <v>12.893331385263586</v>
      </c>
      <c r="H5" s="20">
        <v>0.35857132930369245</v>
      </c>
    </row>
    <row r="6" spans="1:8" x14ac:dyDescent="0.2">
      <c r="A6" s="71">
        <v>2.9851653846153847</v>
      </c>
      <c r="B6" s="20">
        <v>7170</v>
      </c>
      <c r="C6" s="22">
        <v>0.62900080899999999</v>
      </c>
      <c r="D6" s="22">
        <v>1.1006514443179662E-2</v>
      </c>
      <c r="E6" s="20">
        <v>25.561574646783271</v>
      </c>
      <c r="F6" s="20">
        <v>8.8674059402434252E-2</v>
      </c>
      <c r="G6" s="20">
        <v>13.444928983733083</v>
      </c>
      <c r="H6" s="20">
        <v>0.15358797619839684</v>
      </c>
    </row>
    <row r="7" spans="1:8" x14ac:dyDescent="0.2">
      <c r="A7" s="71">
        <v>2.8810884615384618</v>
      </c>
      <c r="B7" s="20">
        <v>7770</v>
      </c>
      <c r="C7" s="22">
        <v>0.61653015799999999</v>
      </c>
      <c r="D7" s="22">
        <v>5.4748371858403854E-3</v>
      </c>
      <c r="E7" s="20">
        <v>23.990494427848585</v>
      </c>
      <c r="F7" s="70">
        <v>0.2</v>
      </c>
      <c r="G7" s="20">
        <v>12.561223769501073</v>
      </c>
      <c r="H7" s="70">
        <v>0.2</v>
      </c>
    </row>
    <row r="8" spans="1:8" x14ac:dyDescent="0.2">
      <c r="A8" s="71">
        <v>2.8741500000000002</v>
      </c>
      <c r="B8" s="20">
        <v>7810</v>
      </c>
      <c r="C8" s="22">
        <v>0.66142838999999998</v>
      </c>
      <c r="D8" s="22">
        <v>8.3613846032333135E-3</v>
      </c>
      <c r="E8" s="20">
        <v>24.491271063949569</v>
      </c>
      <c r="F8" s="20">
        <v>0.14011106588512581</v>
      </c>
      <c r="G8" s="20">
        <v>12.867988175987788</v>
      </c>
      <c r="H8" s="20">
        <v>0.1981469696132952</v>
      </c>
    </row>
    <row r="9" spans="1:8" x14ac:dyDescent="0.2">
      <c r="A9" s="71">
        <v>2.8117038461538462</v>
      </c>
      <c r="B9" s="20">
        <v>8170</v>
      </c>
      <c r="C9" s="22">
        <v>0.63354470600000001</v>
      </c>
      <c r="D9" s="22">
        <v>6.7049659858100571E-3</v>
      </c>
      <c r="E9" s="20">
        <v>25.279861641656595</v>
      </c>
      <c r="F9" s="70">
        <v>0.2</v>
      </c>
      <c r="G9" s="20">
        <v>13.258105967020319</v>
      </c>
      <c r="H9" s="70">
        <v>0.2</v>
      </c>
    </row>
    <row r="10" spans="1:8" x14ac:dyDescent="0.2">
      <c r="A10" s="71">
        <v>2.7518596153846153</v>
      </c>
      <c r="B10" s="20">
        <v>8515</v>
      </c>
      <c r="C10" s="22">
        <v>0.70697554299998444</v>
      </c>
      <c r="D10" s="22">
        <v>1.5432464999984463E-2</v>
      </c>
      <c r="E10" s="20">
        <v>24.527314376657543</v>
      </c>
      <c r="F10" s="20">
        <v>1.4238858483843291</v>
      </c>
      <c r="G10" s="20">
        <v>12.867455961013452</v>
      </c>
      <c r="H10" s="20">
        <v>2.4662426335799732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F1C4-BE3B-F346-AFE9-0F7E02BF0F61}">
  <dimension ref="A1:F17"/>
  <sheetViews>
    <sheetView workbookViewId="0">
      <selection activeCell="E22" sqref="E22"/>
    </sheetView>
  </sheetViews>
  <sheetFormatPr baseColWidth="10" defaultRowHeight="16" x14ac:dyDescent="0.2"/>
  <cols>
    <col min="5" max="6" width="10.83203125" style="80"/>
  </cols>
  <sheetData>
    <row r="1" spans="1:6" x14ac:dyDescent="0.2">
      <c r="A1" s="78" t="s">
        <v>43</v>
      </c>
      <c r="B1" s="78" t="s">
        <v>42</v>
      </c>
      <c r="C1" s="78" t="s">
        <v>44</v>
      </c>
      <c r="D1" s="78" t="s">
        <v>45</v>
      </c>
      <c r="E1" s="79" t="s">
        <v>46</v>
      </c>
      <c r="F1" s="79" t="s">
        <v>47</v>
      </c>
    </row>
    <row r="2" spans="1:6" x14ac:dyDescent="0.2">
      <c r="A2" s="78">
        <v>1530</v>
      </c>
      <c r="B2" s="78">
        <v>3.911815625</v>
      </c>
      <c r="C2" s="78">
        <v>0.63171985300827138</v>
      </c>
      <c r="D2" s="78">
        <v>9.8662330783335188E-3</v>
      </c>
      <c r="E2" s="79">
        <v>-6.1861320065081635</v>
      </c>
      <c r="F2" s="79">
        <v>4.0303612115709937E-2</v>
      </c>
    </row>
    <row r="3" spans="1:6" x14ac:dyDescent="0.2">
      <c r="A3" s="78">
        <v>1630</v>
      </c>
      <c r="B3" s="78">
        <v>3.875</v>
      </c>
      <c r="C3" s="78">
        <v>0.65880055949999994</v>
      </c>
      <c r="D3" s="78">
        <v>3.2328183109262458E-3</v>
      </c>
      <c r="E3" s="79">
        <v>-4.8736622050000005</v>
      </c>
      <c r="F3" s="79">
        <v>0.47757221184237553</v>
      </c>
    </row>
    <row r="4" spans="1:6" x14ac:dyDescent="0.2">
      <c r="A4" s="78">
        <v>2210</v>
      </c>
      <c r="B4" s="78">
        <v>3.6606406250000001</v>
      </c>
      <c r="C4" s="78">
        <v>0.59614674314577565</v>
      </c>
      <c r="D4" s="78">
        <v>1.2332946404645924E-2</v>
      </c>
      <c r="E4" s="79">
        <v>-6.0748457185243465</v>
      </c>
      <c r="F4" s="79">
        <v>4.1333906971947637E-2</v>
      </c>
    </row>
    <row r="5" spans="1:6" x14ac:dyDescent="0.2">
      <c r="A5" s="78">
        <v>2550</v>
      </c>
      <c r="B5" s="78">
        <v>3.5770410367170626</v>
      </c>
      <c r="C5" s="78">
        <v>0.61453211664968821</v>
      </c>
      <c r="D5" s="78">
        <v>1.0858974701481861E-2</v>
      </c>
      <c r="E5" s="79">
        <v>-5.464213667782035</v>
      </c>
      <c r="F5" s="79">
        <v>3.6050661336364781E-2</v>
      </c>
    </row>
    <row r="6" spans="1:6" x14ac:dyDescent="0.2">
      <c r="A6" s="78">
        <v>3670</v>
      </c>
      <c r="B6" s="78">
        <v>3.45</v>
      </c>
      <c r="C6" s="78">
        <v>0.62790242518971795</v>
      </c>
      <c r="D6" s="78">
        <v>7.3201055824911676E-3</v>
      </c>
      <c r="E6" s="79">
        <v>-6.5821954375700464</v>
      </c>
      <c r="F6" s="79">
        <v>2.781865235997541E-2</v>
      </c>
    </row>
    <row r="7" spans="1:6" x14ac:dyDescent="0.2">
      <c r="A7" s="78">
        <v>5020</v>
      </c>
      <c r="B7" s="78">
        <v>3.2957739130434782</v>
      </c>
      <c r="C7" s="78">
        <v>0.60678844133333332</v>
      </c>
      <c r="D7" s="78">
        <v>6.4872684382743812E-3</v>
      </c>
      <c r="E7" s="79">
        <v>-6.5577331030000003</v>
      </c>
      <c r="F7" s="79">
        <v>4.3526728073808668E-2</v>
      </c>
    </row>
    <row r="8" spans="1:6" x14ac:dyDescent="0.2">
      <c r="A8" s="78">
        <v>5130</v>
      </c>
      <c r="B8" s="78">
        <v>3.2840086959999999</v>
      </c>
      <c r="C8" s="78">
        <v>0.62853814050000001</v>
      </c>
      <c r="D8" s="78">
        <v>3.3429452423486116E-3</v>
      </c>
      <c r="E8" s="79">
        <v>-5.8044245019999998</v>
      </c>
      <c r="F8" s="79">
        <v>6.2673490311643374E-4</v>
      </c>
    </row>
    <row r="9" spans="1:6" x14ac:dyDescent="0.2">
      <c r="A9" s="78">
        <v>5365</v>
      </c>
      <c r="B9" s="78">
        <v>3.2588739130434781</v>
      </c>
      <c r="C9" s="78">
        <v>0.61907208600000008</v>
      </c>
      <c r="D9" s="78">
        <v>3.1021212896858155E-3</v>
      </c>
      <c r="E9" s="79">
        <v>-5.7468283499999995</v>
      </c>
      <c r="F9" s="79">
        <v>1.9978131840703024E-2</v>
      </c>
    </row>
    <row r="10" spans="1:6" x14ac:dyDescent="0.2">
      <c r="A10" s="78">
        <v>6690</v>
      </c>
      <c r="B10" s="78">
        <v>3.11913793103448</v>
      </c>
      <c r="C10" s="78">
        <v>0.66581926400000002</v>
      </c>
      <c r="D10" s="78">
        <v>6.7874281949900535E-3</v>
      </c>
      <c r="E10" s="79">
        <v>-5.646577612333334</v>
      </c>
      <c r="F10" s="79">
        <v>1.4372147059007422E-2</v>
      </c>
    </row>
    <row r="11" spans="1:6" x14ac:dyDescent="0.2">
      <c r="A11" s="78">
        <v>7170</v>
      </c>
      <c r="B11" s="78">
        <v>2.9851653846153847</v>
      </c>
      <c r="C11" s="78">
        <v>0.62900080899999999</v>
      </c>
      <c r="D11" s="78">
        <v>1.1006514443179662E-2</v>
      </c>
      <c r="E11" s="79">
        <v>-5.2807279245000007</v>
      </c>
      <c r="F11" s="79">
        <v>1.31061205981491E-2</v>
      </c>
    </row>
    <row r="12" spans="1:6" x14ac:dyDescent="0.2">
      <c r="A12" s="78">
        <v>7770</v>
      </c>
      <c r="B12" s="78">
        <v>2.8810884615384618</v>
      </c>
      <c r="C12" s="78">
        <v>0.61653015799999999</v>
      </c>
      <c r="D12" s="78">
        <v>5.4748371858403854E-3</v>
      </c>
      <c r="E12" s="79">
        <v>-5.2672073680000002</v>
      </c>
      <c r="F12" s="79">
        <v>9.4583416224309543E-3</v>
      </c>
    </row>
    <row r="13" spans="1:6" x14ac:dyDescent="0.2">
      <c r="A13" s="78">
        <v>7810</v>
      </c>
      <c r="B13" s="78">
        <v>2.8741500000000002</v>
      </c>
      <c r="C13" s="78">
        <v>0.66142838999999998</v>
      </c>
      <c r="D13" s="78">
        <v>8.3613846032333135E-3</v>
      </c>
      <c r="E13" s="79">
        <v>-5.8593444766666662</v>
      </c>
      <c r="F13" s="79">
        <v>3.9222322550887069E-2</v>
      </c>
    </row>
    <row r="14" spans="1:6" x14ac:dyDescent="0.2">
      <c r="A14" s="78">
        <v>8170</v>
      </c>
      <c r="B14" s="78">
        <v>2.8117038461538462</v>
      </c>
      <c r="C14" s="78">
        <v>0.63354470600000001</v>
      </c>
      <c r="D14" s="78">
        <v>6.7049659858100571E-3</v>
      </c>
      <c r="E14" s="79">
        <v>-5.6291681433333336</v>
      </c>
      <c r="F14" s="79">
        <v>1.9937311959463421E-2</v>
      </c>
    </row>
    <row r="15" spans="1:6" x14ac:dyDescent="0.2">
      <c r="A15" s="78">
        <v>8460</v>
      </c>
      <c r="B15" s="78">
        <v>2.7614000000000001</v>
      </c>
      <c r="C15" s="78">
        <v>0.66045723821653046</v>
      </c>
      <c r="D15" s="78">
        <v>1.9649953216530514E-2</v>
      </c>
      <c r="E15" s="79">
        <v>-5.6683036076245497</v>
      </c>
      <c r="F15" s="79">
        <v>9.8339174624550107E-2</v>
      </c>
    </row>
    <row r="16" spans="1:6" x14ac:dyDescent="0.2">
      <c r="A16" s="78">
        <v>8515</v>
      </c>
      <c r="B16" s="78">
        <v>2.7518596153846153</v>
      </c>
      <c r="C16" s="78">
        <v>0.70697554299998444</v>
      </c>
      <c r="D16" s="78">
        <v>1.5432464999984463E-2</v>
      </c>
      <c r="E16" s="79">
        <v>-5.0185485151955653</v>
      </c>
      <c r="F16" s="79">
        <v>8.7456382804435226E-2</v>
      </c>
    </row>
    <row r="17" spans="6:6" x14ac:dyDescent="0.2">
      <c r="F17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triple_clumped</vt:lpstr>
      <vt:lpstr>clumped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Czwakiel, Nicole</dc:creator>
  <cp:lastModifiedBy>Da, Jiawei</cp:lastModifiedBy>
  <dcterms:created xsi:type="dcterms:W3CDTF">2025-09-19T19:45:42Z</dcterms:created>
  <dcterms:modified xsi:type="dcterms:W3CDTF">2025-09-20T01:22:32Z</dcterms:modified>
</cp:coreProperties>
</file>