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66925"/>
  <mc:AlternateContent xmlns:mc="http://schemas.openxmlformats.org/markup-compatibility/2006">
    <mc:Choice Requires="x15">
      <x15ac:absPath xmlns:x15ac="http://schemas.microsoft.com/office/spreadsheetml/2010/11/ac" url="/Users/nicoleczwakiel/Downloads/Villalba_Alta_Ch_2/"/>
    </mc:Choice>
  </mc:AlternateContent>
  <xr:revisionPtr revIDLastSave="0" documentId="13_ncr:1_{D3BBA223-DFF5-8C40-99B9-59A702641374}" xr6:coauthVersionLast="47" xr6:coauthVersionMax="47" xr10:uidLastSave="{00000000-0000-0000-0000-000000000000}"/>
  <bookViews>
    <workbookView xWindow="28880" yWindow="720" windowWidth="23500" windowHeight="20880" xr2:uid="{00000000-000D-0000-FFFF-FFFF00000000}"/>
  </bookViews>
  <sheets>
    <sheet name="D17Osw and d18Osw" sheetId="15" r:id="rId1"/>
    <sheet name="Triple_Raw" sheetId="6" r:id="rId2"/>
    <sheet name="Triple_Standards" sheetId="12" r:id="rId3"/>
    <sheet name="Triple_Calibrated" sheetId="13" r:id="rId4"/>
    <sheet name="Triple_Statistics" sheetId="14" r:id="rId5"/>
    <sheet name="Clumped_Raw" sheetId="16" r:id="rId6"/>
    <sheet name="Clumped_Statistics" sheetId="17" r:id="rId7"/>
    <sheet name="Clumped_graphs" sheetId="18" r:id="rId8"/>
    <sheet name="d18o comparison between lab" sheetId="19" r:id="rId9"/>
    <sheet name="need_clumped_calibrate" sheetId="21" r:id="rId10"/>
  </sheets>
  <externalReferences>
    <externalReference r:id="rId11"/>
  </externalReferences>
  <definedNames>
    <definedName name="_xlnm._FilterDatabase" localSheetId="3" hidden="1">Triple_Calibrated!$A$1:$AC$90</definedName>
    <definedName name="_xlnm._FilterDatabase" localSheetId="2" hidden="1">Triple_Standards!$A$1:$F$1</definedName>
    <definedName name="_xlchart.v1.0" hidden="1">'D17Osw and d18Osw'!$A$2:$A$10</definedName>
    <definedName name="_xlchart.v1.1" hidden="1">'D17Osw and d18Osw'!$B$15:$B$29</definedName>
    <definedName name="_xlchart.v1.10" hidden="1">'D17Osw and d18Osw'!$H$15:$H$29</definedName>
    <definedName name="_xlchart.v1.11" hidden="1">'D17Osw and d18Osw'!$P$2:$P$10</definedName>
    <definedName name="_xlchart.v1.12" hidden="1">'D17Osw and d18Osw'!$A$2:$A$10</definedName>
    <definedName name="_xlchart.v1.13" hidden="1">'D17Osw and d18Osw'!$B$15:$B$29</definedName>
    <definedName name="_xlchart.v1.14" hidden="1">'D17Osw and d18Osw'!$H$15:$H$29</definedName>
    <definedName name="_xlchart.v1.15" hidden="1">'D17Osw and d18Osw'!$P$2:$P$10</definedName>
    <definedName name="_xlchart.v1.16" hidden="1">'D17Osw and d18Osw'!$A$2:$A$10</definedName>
    <definedName name="_xlchart.v1.17" hidden="1">'D17Osw and d18Osw'!$B$15:$B$29</definedName>
    <definedName name="_xlchart.v1.18" hidden="1">'D17Osw and d18Osw'!$H$15:$H$29</definedName>
    <definedName name="_xlchart.v1.19" hidden="1">'D17Osw and d18Osw'!$P$2:$P$10</definedName>
    <definedName name="_xlchart.v1.2" hidden="1">'D17Osw and d18Osw'!$H$15:$H$29</definedName>
    <definedName name="_xlchart.v1.20" hidden="1">'D17Osw and d18Osw'!$A$2:$A$10</definedName>
    <definedName name="_xlchart.v1.21" hidden="1">'D17Osw and d18Osw'!$B$15:$B$29</definedName>
    <definedName name="_xlchart.v1.22" hidden="1">'D17Osw and d18Osw'!$H$15:$H$29</definedName>
    <definedName name="_xlchart.v1.23" hidden="1">'D17Osw and d18Osw'!$P$2:$P$10</definedName>
    <definedName name="_xlchart.v1.3" hidden="1">'D17Osw and d18Osw'!$P$2:$P$10</definedName>
    <definedName name="_xlchart.v1.4" hidden="1">'D17Osw and d18Osw'!$A$2:$A$10</definedName>
    <definedName name="_xlchart.v1.5" hidden="1">'D17Osw and d18Osw'!$B$15:$B$29</definedName>
    <definedName name="_xlchart.v1.6" hidden="1">'D17Osw and d18Osw'!$H$15:$H$29</definedName>
    <definedName name="_xlchart.v1.7" hidden="1">'D17Osw and d18Osw'!$P$2:$P$10</definedName>
    <definedName name="_xlchart.v1.8" hidden="1">'D17Osw and d18Osw'!$A$2:$A$10</definedName>
    <definedName name="_xlchart.v1.9" hidden="1">'D17Osw and d18Osw'!$B$15:$B$29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4" l="1"/>
  <c r="E3" i="17"/>
  <c r="E7" i="17"/>
  <c r="E8" i="17"/>
  <c r="E9" i="17"/>
  <c r="E10" i="17"/>
  <c r="E11" i="17"/>
  <c r="E12" i="17"/>
  <c r="E13" i="17"/>
  <c r="E14" i="17"/>
  <c r="N3" i="17"/>
  <c r="C15" i="15" s="1" a="1"/>
  <c r="F22" i="15" s="1"/>
  <c r="N7" i="17"/>
  <c r="C4" i="15" s="1"/>
  <c r="N8" i="17"/>
  <c r="N9" i="17"/>
  <c r="N10" i="17"/>
  <c r="N11" i="17"/>
  <c r="C6" i="15" s="1"/>
  <c r="N12" i="17"/>
  <c r="C7" i="15" s="1"/>
  <c r="I7" i="15" s="1"/>
  <c r="N13" i="17"/>
  <c r="C8" i="15" s="1"/>
  <c r="I8" i="15" s="1"/>
  <c r="N14" i="17"/>
  <c r="C9" i="15" s="1"/>
  <c r="I9" i="15" s="1"/>
  <c r="B16" i="14"/>
  <c r="B15" i="14"/>
  <c r="B14" i="14"/>
  <c r="B13" i="14"/>
  <c r="B12" i="14"/>
  <c r="B11" i="14"/>
  <c r="B10" i="14"/>
  <c r="B9" i="14"/>
  <c r="B8" i="14"/>
  <c r="B7" i="14"/>
  <c r="B6" i="14"/>
  <c r="B5" i="14"/>
  <c r="B4" i="14"/>
  <c r="K3" i="15"/>
  <c r="D3" i="15"/>
  <c r="E3" i="15"/>
  <c r="L3" i="15"/>
  <c r="J4" i="14"/>
  <c r="F3" i="15"/>
  <c r="M3" i="15"/>
  <c r="N3" i="15"/>
  <c r="O3" i="15"/>
  <c r="P3" i="15"/>
  <c r="G4" i="14"/>
  <c r="G3" i="15"/>
  <c r="H3" i="15"/>
  <c r="I3" i="15"/>
  <c r="J3" i="15"/>
  <c r="C3" i="15"/>
  <c r="P22" i="17"/>
  <c r="P27" i="17"/>
  <c r="P28" i="17"/>
  <c r="P30" i="17"/>
  <c r="P31" i="17"/>
  <c r="N22" i="17"/>
  <c r="N27" i="17"/>
  <c r="N28" i="17"/>
  <c r="N30" i="17"/>
  <c r="N31" i="17"/>
  <c r="N33" i="17"/>
  <c r="G22" i="17"/>
  <c r="G27" i="17"/>
  <c r="G28" i="17"/>
  <c r="G30" i="17"/>
  <c r="G31" i="17"/>
  <c r="W3" i="18" a="1"/>
  <c r="W3" i="18" s="1"/>
  <c r="E22" i="17"/>
  <c r="E27" i="17"/>
  <c r="E28" i="17"/>
  <c r="E30" i="17"/>
  <c r="E31" i="17"/>
  <c r="P3" i="17"/>
  <c r="P7" i="17"/>
  <c r="P8" i="17"/>
  <c r="P9" i="17"/>
  <c r="P10" i="17"/>
  <c r="P11" i="17"/>
  <c r="P12" i="17"/>
  <c r="P13" i="17"/>
  <c r="P14" i="17"/>
  <c r="G3" i="17"/>
  <c r="G7" i="17"/>
  <c r="G8" i="17"/>
  <c r="G9" i="17"/>
  <c r="G10" i="17"/>
  <c r="G11" i="17"/>
  <c r="G12" i="17"/>
  <c r="G13" i="17"/>
  <c r="G14" i="17"/>
  <c r="F3" i="18" a="1"/>
  <c r="F3" i="18"/>
  <c r="P16" i="17"/>
  <c r="O16" i="17"/>
  <c r="N16" i="17"/>
  <c r="M16" i="17"/>
  <c r="L16" i="17"/>
  <c r="K16" i="17"/>
  <c r="J16" i="17"/>
  <c r="I16" i="17"/>
  <c r="H16" i="17"/>
  <c r="G16" i="17"/>
  <c r="F16" i="17"/>
  <c r="E16" i="17"/>
  <c r="D16" i="17"/>
  <c r="C16" i="17"/>
  <c r="B16" i="17"/>
  <c r="P15" i="17"/>
  <c r="O15" i="17"/>
  <c r="N15" i="17"/>
  <c r="M15" i="17"/>
  <c r="L15" i="17"/>
  <c r="K15" i="17"/>
  <c r="J15" i="17"/>
  <c r="I15" i="17"/>
  <c r="H15" i="17"/>
  <c r="G15" i="17"/>
  <c r="F15" i="17"/>
  <c r="E15" i="17"/>
  <c r="D15" i="17"/>
  <c r="C15" i="17"/>
  <c r="B15" i="17"/>
  <c r="P26" i="17"/>
  <c r="O26" i="17"/>
  <c r="N26" i="17"/>
  <c r="M26" i="17"/>
  <c r="L26" i="17"/>
  <c r="K26" i="17"/>
  <c r="J26" i="17"/>
  <c r="I26" i="17"/>
  <c r="H26" i="17"/>
  <c r="G26" i="17"/>
  <c r="F26" i="17"/>
  <c r="E26" i="17"/>
  <c r="D26" i="17"/>
  <c r="C26" i="17"/>
  <c r="B26" i="17"/>
  <c r="DQ61" i="16"/>
  <c r="DQ63" i="16"/>
  <c r="P6" i="17"/>
  <c r="O6" i="17"/>
  <c r="N6" i="17"/>
  <c r="M6" i="17"/>
  <c r="L6" i="17"/>
  <c r="K6" i="17"/>
  <c r="J6" i="17"/>
  <c r="I6" i="17"/>
  <c r="H6" i="17"/>
  <c r="G6" i="17"/>
  <c r="F6" i="17"/>
  <c r="E6" i="17"/>
  <c r="D6" i="17"/>
  <c r="C6" i="17"/>
  <c r="B6" i="17"/>
  <c r="P5" i="17"/>
  <c r="O5" i="17"/>
  <c r="N5" i="17"/>
  <c r="M5" i="17"/>
  <c r="L5" i="17"/>
  <c r="K5" i="17"/>
  <c r="J5" i="17"/>
  <c r="I5" i="17"/>
  <c r="H5" i="17"/>
  <c r="G5" i="17"/>
  <c r="F5" i="17"/>
  <c r="E5" i="17"/>
  <c r="D5" i="17"/>
  <c r="C5" i="17"/>
  <c r="B5" i="17"/>
  <c r="DP46" i="16"/>
  <c r="P23" i="17"/>
  <c r="O23" i="17"/>
  <c r="N23" i="17"/>
  <c r="M23" i="17"/>
  <c r="L23" i="17"/>
  <c r="K23" i="17"/>
  <c r="J23" i="17"/>
  <c r="I23" i="17"/>
  <c r="H23" i="17"/>
  <c r="G23" i="17"/>
  <c r="F23" i="17"/>
  <c r="E23" i="17"/>
  <c r="D23" i="17"/>
  <c r="C23" i="17"/>
  <c r="B23" i="17"/>
  <c r="P4" i="17"/>
  <c r="O4" i="17"/>
  <c r="N4" i="17"/>
  <c r="M4" i="17"/>
  <c r="L4" i="17"/>
  <c r="K4" i="17"/>
  <c r="J4" i="17"/>
  <c r="I4" i="17"/>
  <c r="H4" i="17"/>
  <c r="G4" i="17"/>
  <c r="F4" i="17"/>
  <c r="E4" i="17"/>
  <c r="D4" i="17"/>
  <c r="C4" i="17"/>
  <c r="B4" i="17"/>
  <c r="DR36" i="16"/>
  <c r="DR38" i="16"/>
  <c r="P21" i="17"/>
  <c r="O21" i="17"/>
  <c r="N21" i="17"/>
  <c r="M21" i="17"/>
  <c r="L21" i="17"/>
  <c r="K21" i="17"/>
  <c r="J21" i="17"/>
  <c r="I21" i="17"/>
  <c r="H21" i="17"/>
  <c r="G21" i="17"/>
  <c r="F21" i="17"/>
  <c r="E21" i="17"/>
  <c r="D21" i="17"/>
  <c r="C21" i="17"/>
  <c r="B21" i="17"/>
  <c r="P2" i="17"/>
  <c r="O2" i="17"/>
  <c r="N2" i="17"/>
  <c r="M2" i="17"/>
  <c r="L2" i="17"/>
  <c r="K2" i="17"/>
  <c r="J2" i="17"/>
  <c r="I2" i="17"/>
  <c r="H2" i="17"/>
  <c r="G2" i="17"/>
  <c r="F2" i="17"/>
  <c r="E2" i="17"/>
  <c r="D2" i="17"/>
  <c r="C2" i="17"/>
  <c r="B2" i="17"/>
  <c r="DQ13" i="16"/>
  <c r="DQ10" i="16"/>
  <c r="DT44" i="16"/>
  <c r="DT141" i="16"/>
  <c r="DT142" i="16"/>
  <c r="DT144" i="16"/>
  <c r="DT145" i="16"/>
  <c r="DS144" i="16"/>
  <c r="DS145" i="16"/>
  <c r="DR144" i="16"/>
  <c r="DR145" i="16"/>
  <c r="DQ144" i="16"/>
  <c r="DQ145" i="16"/>
  <c r="DP144" i="16"/>
  <c r="DP145" i="16"/>
  <c r="DT143" i="16"/>
  <c r="DS143" i="16"/>
  <c r="DR143" i="16"/>
  <c r="DQ143" i="16"/>
  <c r="DP143" i="16"/>
  <c r="DT135" i="16"/>
  <c r="DT137" i="16"/>
  <c r="DT139" i="16"/>
  <c r="DT140" i="16"/>
  <c r="DS139" i="16"/>
  <c r="DS140" i="16"/>
  <c r="DR139" i="16"/>
  <c r="DR140" i="16"/>
  <c r="DQ139" i="16"/>
  <c r="DQ140" i="16"/>
  <c r="DP139" i="16"/>
  <c r="DP140" i="16"/>
  <c r="DT138" i="16"/>
  <c r="DS138" i="16"/>
  <c r="DR138" i="16"/>
  <c r="DQ138" i="16"/>
  <c r="DP138" i="16"/>
  <c r="DP95" i="16"/>
  <c r="DQ95" i="16"/>
  <c r="DR95" i="16"/>
  <c r="DS95" i="16"/>
  <c r="DT91" i="16"/>
  <c r="DT92" i="16"/>
  <c r="DT93" i="16"/>
  <c r="DT95" i="16"/>
  <c r="DT57" i="16"/>
  <c r="DT58" i="16"/>
  <c r="DT59" i="16"/>
  <c r="DT60" i="16"/>
  <c r="DT66" i="16"/>
  <c r="DT65" i="16"/>
  <c r="DS66" i="16"/>
  <c r="DS65" i="16"/>
  <c r="DR66" i="16"/>
  <c r="DR65" i="16"/>
  <c r="DQ66" i="16"/>
  <c r="DQ65" i="16"/>
  <c r="DT62" i="16"/>
  <c r="DT63" i="16"/>
  <c r="DS62" i="16"/>
  <c r="DS63" i="16"/>
  <c r="DR62" i="16"/>
  <c r="DR63" i="16"/>
  <c r="DQ62" i="16"/>
  <c r="DP62" i="16"/>
  <c r="DP63" i="16"/>
  <c r="DP66" i="16"/>
  <c r="DP65" i="16"/>
  <c r="DP61" i="16"/>
  <c r="DT61" i="16"/>
  <c r="DT67" i="16"/>
  <c r="DS61" i="16"/>
  <c r="DS67" i="16"/>
  <c r="DR61" i="16"/>
  <c r="DR67" i="16"/>
  <c r="DQ67" i="16"/>
  <c r="DP67" i="16"/>
  <c r="DT49" i="16"/>
  <c r="DT50" i="16"/>
  <c r="DT51" i="16"/>
  <c r="DT54" i="16"/>
  <c r="DT55" i="16"/>
  <c r="DT53" i="16"/>
  <c r="DR54" i="16"/>
  <c r="DR55" i="16"/>
  <c r="DS54" i="16"/>
  <c r="DS55" i="16"/>
  <c r="DS53" i="16"/>
  <c r="DR53" i="16"/>
  <c r="DQ54" i="16"/>
  <c r="DQ53" i="16"/>
  <c r="DQ55" i="16"/>
  <c r="DP54" i="16"/>
  <c r="DP55" i="16"/>
  <c r="DP53" i="16"/>
  <c r="DT40" i="16"/>
  <c r="DT41" i="16"/>
  <c r="DT42" i="16"/>
  <c r="DT43" i="16"/>
  <c r="DT46" i="16"/>
  <c r="DT45" i="16"/>
  <c r="DS46" i="16"/>
  <c r="DS45" i="16"/>
  <c r="DR46" i="16"/>
  <c r="DR45" i="16"/>
  <c r="DQ46" i="16"/>
  <c r="DQ45" i="16"/>
  <c r="DP45" i="16"/>
  <c r="DT18" i="16"/>
  <c r="DT19" i="16"/>
  <c r="DT25" i="16"/>
  <c r="DT28" i="16"/>
  <c r="DT29" i="16"/>
  <c r="DT30" i="16"/>
  <c r="DT37" i="16"/>
  <c r="DT38" i="16"/>
  <c r="DT36" i="16"/>
  <c r="DS37" i="16"/>
  <c r="DS38" i="16"/>
  <c r="DS36" i="16"/>
  <c r="DR37" i="16"/>
  <c r="DQ37" i="16"/>
  <c r="DQ38" i="16"/>
  <c r="DQ36" i="16"/>
  <c r="DP37" i="16"/>
  <c r="DP38" i="16"/>
  <c r="DP36" i="16"/>
  <c r="DT31" i="16"/>
  <c r="DT32" i="16"/>
  <c r="DT33" i="16"/>
  <c r="DT34" i="16"/>
  <c r="DS32" i="16"/>
  <c r="DS33" i="16"/>
  <c r="DS34" i="16"/>
  <c r="DR32" i="16"/>
  <c r="DR33" i="16"/>
  <c r="DR34" i="16"/>
  <c r="DQ32" i="16"/>
  <c r="DQ33" i="16"/>
  <c r="DQ34" i="16"/>
  <c r="DP32" i="16"/>
  <c r="DP33" i="16"/>
  <c r="DP34" i="16"/>
  <c r="DT3" i="16"/>
  <c r="DT4" i="16"/>
  <c r="DT6" i="16"/>
  <c r="DT7" i="16"/>
  <c r="DT14" i="16"/>
  <c r="DT15" i="16"/>
  <c r="DT13" i="16"/>
  <c r="DS14" i="16"/>
  <c r="DS15" i="16"/>
  <c r="DS13" i="16"/>
  <c r="DR14" i="16"/>
  <c r="DR15" i="16"/>
  <c r="DR13" i="16"/>
  <c r="DQ14" i="16"/>
  <c r="DQ15" i="16"/>
  <c r="DP14" i="16"/>
  <c r="DP15" i="16"/>
  <c r="DP13" i="16"/>
  <c r="DT10" i="16"/>
  <c r="DS10" i="16"/>
  <c r="DR10" i="16"/>
  <c r="DP10" i="16"/>
  <c r="DT11" i="16"/>
  <c r="DT9" i="16"/>
  <c r="DS11" i="16"/>
  <c r="DS9" i="16"/>
  <c r="DR11" i="16"/>
  <c r="DQ11" i="16"/>
  <c r="DP11" i="16"/>
  <c r="DR9" i="16"/>
  <c r="DQ9" i="16"/>
  <c r="DP9" i="16"/>
  <c r="C2" i="15"/>
  <c r="I2" i="15"/>
  <c r="C6" i="14"/>
  <c r="D6" i="14"/>
  <c r="D4" i="15"/>
  <c r="E4" i="15"/>
  <c r="C10" i="15"/>
  <c r="O10" i="17"/>
  <c r="C5" i="15" s="1"/>
  <c r="I5" i="15" s="1"/>
  <c r="B3" i="17"/>
  <c r="C3" i="17"/>
  <c r="D3" i="17"/>
  <c r="F3" i="17"/>
  <c r="H3" i="17"/>
  <c r="I3" i="17"/>
  <c r="J3" i="17"/>
  <c r="K3" i="17"/>
  <c r="L3" i="17"/>
  <c r="M3" i="17"/>
  <c r="O3" i="17"/>
  <c r="B7" i="17"/>
  <c r="C7" i="17"/>
  <c r="D7" i="17"/>
  <c r="F7" i="17"/>
  <c r="H7" i="17"/>
  <c r="I7" i="17"/>
  <c r="J7" i="17"/>
  <c r="K7" i="17"/>
  <c r="L7" i="17"/>
  <c r="M7" i="17"/>
  <c r="O7" i="17"/>
  <c r="B8" i="17"/>
  <c r="C8" i="17"/>
  <c r="D8" i="17"/>
  <c r="F8" i="17"/>
  <c r="H8" i="17"/>
  <c r="I8" i="17"/>
  <c r="J8" i="17"/>
  <c r="K8" i="17"/>
  <c r="L8" i="17"/>
  <c r="M8" i="17"/>
  <c r="O8" i="17"/>
  <c r="B9" i="17"/>
  <c r="C9" i="17"/>
  <c r="D9" i="17"/>
  <c r="F9" i="17"/>
  <c r="H9" i="17"/>
  <c r="I9" i="17"/>
  <c r="J9" i="17"/>
  <c r="K9" i="17"/>
  <c r="L9" i="17"/>
  <c r="M9" i="17"/>
  <c r="O9" i="17"/>
  <c r="B10" i="17"/>
  <c r="C10" i="17"/>
  <c r="D10" i="17"/>
  <c r="F10" i="17"/>
  <c r="H10" i="17"/>
  <c r="I10" i="17"/>
  <c r="J10" i="17"/>
  <c r="K10" i="17"/>
  <c r="L10" i="17"/>
  <c r="M10" i="17"/>
  <c r="B11" i="17"/>
  <c r="C11" i="17"/>
  <c r="D11" i="17"/>
  <c r="F11" i="17"/>
  <c r="H11" i="17"/>
  <c r="I11" i="17"/>
  <c r="J11" i="17"/>
  <c r="K11" i="17"/>
  <c r="L11" i="17"/>
  <c r="M11" i="17"/>
  <c r="O11" i="17"/>
  <c r="B12" i="17"/>
  <c r="C12" i="17"/>
  <c r="D12" i="17"/>
  <c r="F12" i="17"/>
  <c r="H12" i="17"/>
  <c r="I12" i="17"/>
  <c r="J12" i="17"/>
  <c r="K12" i="17"/>
  <c r="L12" i="17"/>
  <c r="M12" i="17"/>
  <c r="O12" i="17"/>
  <c r="B13" i="17"/>
  <c r="C13" i="17"/>
  <c r="D13" i="17"/>
  <c r="F13" i="17"/>
  <c r="H13" i="17"/>
  <c r="I13" i="17"/>
  <c r="J13" i="17"/>
  <c r="K13" i="17"/>
  <c r="L13" i="17"/>
  <c r="M13" i="17"/>
  <c r="O13" i="17"/>
  <c r="B14" i="17"/>
  <c r="C14" i="17"/>
  <c r="D14" i="17"/>
  <c r="F14" i="17"/>
  <c r="H14" i="17"/>
  <c r="I14" i="17"/>
  <c r="J14" i="17"/>
  <c r="K14" i="17"/>
  <c r="L14" i="17"/>
  <c r="M14" i="17"/>
  <c r="O14" i="17"/>
  <c r="B22" i="17"/>
  <c r="C22" i="17"/>
  <c r="D22" i="17"/>
  <c r="F22" i="17"/>
  <c r="H22" i="17"/>
  <c r="I22" i="17"/>
  <c r="J22" i="17"/>
  <c r="K22" i="17"/>
  <c r="L22" i="17"/>
  <c r="M22" i="17"/>
  <c r="O22" i="17"/>
  <c r="B27" i="17"/>
  <c r="C27" i="17"/>
  <c r="D27" i="17"/>
  <c r="F27" i="17"/>
  <c r="H27" i="17"/>
  <c r="I27" i="17"/>
  <c r="J27" i="17"/>
  <c r="K27" i="17"/>
  <c r="L27" i="17"/>
  <c r="M27" i="17"/>
  <c r="O27" i="17"/>
  <c r="B28" i="17"/>
  <c r="C28" i="17"/>
  <c r="D28" i="17"/>
  <c r="F28" i="17"/>
  <c r="H28" i="17"/>
  <c r="I28" i="17"/>
  <c r="J28" i="17"/>
  <c r="K28" i="17"/>
  <c r="L28" i="17"/>
  <c r="M28" i="17"/>
  <c r="O28" i="17"/>
  <c r="B30" i="17"/>
  <c r="C30" i="17"/>
  <c r="D30" i="17"/>
  <c r="F30" i="17"/>
  <c r="H30" i="17"/>
  <c r="I30" i="17"/>
  <c r="J30" i="17"/>
  <c r="K30" i="17"/>
  <c r="L30" i="17"/>
  <c r="M30" i="17"/>
  <c r="O30" i="17"/>
  <c r="B31" i="17"/>
  <c r="C31" i="17"/>
  <c r="D31" i="17"/>
  <c r="F31" i="17"/>
  <c r="H31" i="17"/>
  <c r="I31" i="17"/>
  <c r="J31" i="17"/>
  <c r="K31" i="17"/>
  <c r="L31" i="17"/>
  <c r="M31" i="17"/>
  <c r="O31" i="17"/>
  <c r="DT17" i="16"/>
  <c r="DP20" i="16"/>
  <c r="DQ20" i="16"/>
  <c r="DR20" i="16"/>
  <c r="DS20" i="16"/>
  <c r="DT20" i="16"/>
  <c r="DP21" i="16"/>
  <c r="DQ21" i="16"/>
  <c r="DR21" i="16"/>
  <c r="DS21" i="16"/>
  <c r="DT21" i="16"/>
  <c r="DP22" i="16"/>
  <c r="DQ22" i="16"/>
  <c r="DR22" i="16"/>
  <c r="DS22" i="16"/>
  <c r="DT22" i="16"/>
  <c r="DP24" i="16"/>
  <c r="DQ24" i="16"/>
  <c r="DR24" i="16"/>
  <c r="DS24" i="16"/>
  <c r="DT24" i="16"/>
  <c r="DP25" i="16"/>
  <c r="DQ25" i="16"/>
  <c r="DR25" i="16"/>
  <c r="DS25" i="16"/>
  <c r="DP26" i="16"/>
  <c r="DQ26" i="16"/>
  <c r="DR26" i="16"/>
  <c r="DS26" i="16"/>
  <c r="DT26" i="16"/>
  <c r="DP47" i="16"/>
  <c r="DQ47" i="16"/>
  <c r="DR47" i="16"/>
  <c r="DS47" i="16"/>
  <c r="DT47" i="16"/>
  <c r="DT69" i="16"/>
  <c r="DT70" i="16"/>
  <c r="DT71" i="16"/>
  <c r="DP72" i="16"/>
  <c r="DQ72" i="16"/>
  <c r="DR72" i="16"/>
  <c r="DS72" i="16"/>
  <c r="DT72" i="16"/>
  <c r="DP73" i="16"/>
  <c r="DQ73" i="16"/>
  <c r="DR73" i="16"/>
  <c r="DS73" i="16"/>
  <c r="DT73" i="16"/>
  <c r="DP74" i="16"/>
  <c r="DQ74" i="16"/>
  <c r="DR74" i="16"/>
  <c r="DS74" i="16"/>
  <c r="DT74" i="16"/>
  <c r="DP76" i="16"/>
  <c r="DQ76" i="16"/>
  <c r="DR76" i="16"/>
  <c r="DS76" i="16"/>
  <c r="DT76" i="16"/>
  <c r="DP77" i="16"/>
  <c r="DQ77" i="16"/>
  <c r="DR77" i="16"/>
  <c r="DS77" i="16"/>
  <c r="DT77" i="16"/>
  <c r="DP78" i="16"/>
  <c r="DQ78" i="16"/>
  <c r="DR78" i="16"/>
  <c r="DS78" i="16"/>
  <c r="DT78" i="16"/>
  <c r="DT80" i="16"/>
  <c r="DT81" i="16"/>
  <c r="DT82" i="16"/>
  <c r="DP83" i="16"/>
  <c r="DQ83" i="16"/>
  <c r="DR83" i="16"/>
  <c r="DS83" i="16"/>
  <c r="DT83" i="16"/>
  <c r="DP84" i="16"/>
  <c r="DQ84" i="16"/>
  <c r="DR84" i="16"/>
  <c r="DS84" i="16"/>
  <c r="DT84" i="16"/>
  <c r="DP85" i="16"/>
  <c r="DQ85" i="16"/>
  <c r="DR85" i="16"/>
  <c r="DS85" i="16"/>
  <c r="DT85" i="16"/>
  <c r="DP87" i="16"/>
  <c r="DQ87" i="16"/>
  <c r="DR87" i="16"/>
  <c r="DS87" i="16"/>
  <c r="DT87" i="16"/>
  <c r="DP88" i="16"/>
  <c r="DQ88" i="16"/>
  <c r="DR88" i="16"/>
  <c r="DS88" i="16"/>
  <c r="DT88" i="16"/>
  <c r="DP89" i="16"/>
  <c r="DQ89" i="16"/>
  <c r="DR89" i="16"/>
  <c r="DS89" i="16"/>
  <c r="DT89" i="16"/>
  <c r="DP96" i="16"/>
  <c r="DQ96" i="16"/>
  <c r="DR96" i="16"/>
  <c r="DS96" i="16"/>
  <c r="DT96" i="16"/>
  <c r="DP97" i="16"/>
  <c r="DQ97" i="16"/>
  <c r="DR97" i="16"/>
  <c r="DS97" i="16"/>
  <c r="DT97" i="16"/>
  <c r="DT99" i="16"/>
  <c r="DT100" i="16"/>
  <c r="DT101" i="16"/>
  <c r="DP102" i="16"/>
  <c r="DQ102" i="16"/>
  <c r="DR102" i="16"/>
  <c r="DS102" i="16"/>
  <c r="DT102" i="16"/>
  <c r="DP103" i="16"/>
  <c r="DQ103" i="16"/>
  <c r="DR103" i="16"/>
  <c r="DS103" i="16"/>
  <c r="DT103" i="16"/>
  <c r="DP104" i="16"/>
  <c r="DQ104" i="16"/>
  <c r="DR104" i="16"/>
  <c r="DS104" i="16"/>
  <c r="DT104" i="16"/>
  <c r="DP106" i="16"/>
  <c r="DQ106" i="16"/>
  <c r="DR106" i="16"/>
  <c r="DS106" i="16"/>
  <c r="DT106" i="16"/>
  <c r="DP107" i="16"/>
  <c r="DQ107" i="16"/>
  <c r="DR107" i="16"/>
  <c r="DS107" i="16"/>
  <c r="DT107" i="16"/>
  <c r="DP108" i="16"/>
  <c r="DQ108" i="16"/>
  <c r="DR108" i="16"/>
  <c r="DS108" i="16"/>
  <c r="DT108" i="16"/>
  <c r="DT110" i="16"/>
  <c r="DT111" i="16"/>
  <c r="DT112" i="16"/>
  <c r="DP113" i="16"/>
  <c r="DQ113" i="16"/>
  <c r="DR113" i="16"/>
  <c r="DS113" i="16"/>
  <c r="DT113" i="16"/>
  <c r="DP114" i="16"/>
  <c r="DQ114" i="16"/>
  <c r="DR114" i="16"/>
  <c r="DS114" i="16"/>
  <c r="DT114" i="16"/>
  <c r="DP115" i="16"/>
  <c r="DQ115" i="16"/>
  <c r="DR115" i="16"/>
  <c r="DS115" i="16"/>
  <c r="DT115" i="16"/>
  <c r="DP117" i="16"/>
  <c r="DQ117" i="16"/>
  <c r="DR117" i="16"/>
  <c r="DS117" i="16"/>
  <c r="DT117" i="16"/>
  <c r="DP118" i="16"/>
  <c r="DQ118" i="16"/>
  <c r="DR118" i="16"/>
  <c r="DS118" i="16"/>
  <c r="DT118" i="16"/>
  <c r="DP119" i="16"/>
  <c r="DQ119" i="16"/>
  <c r="DR119" i="16"/>
  <c r="DS119" i="16"/>
  <c r="DT119" i="16"/>
  <c r="DT121" i="16"/>
  <c r="DT122" i="16"/>
  <c r="DT123" i="16"/>
  <c r="DP124" i="16"/>
  <c r="DQ124" i="16"/>
  <c r="DR124" i="16"/>
  <c r="DS124" i="16"/>
  <c r="DT124" i="16"/>
  <c r="DP125" i="16"/>
  <c r="DQ125" i="16"/>
  <c r="DR125" i="16"/>
  <c r="DS125" i="16"/>
  <c r="DT125" i="16"/>
  <c r="DP126" i="16"/>
  <c r="DQ126" i="16"/>
  <c r="DR126" i="16"/>
  <c r="DS126" i="16"/>
  <c r="DT126" i="16"/>
  <c r="DT128" i="16"/>
  <c r="DT129" i="16"/>
  <c r="DT130" i="16"/>
  <c r="DP131" i="16"/>
  <c r="DQ131" i="16"/>
  <c r="DR131" i="16"/>
  <c r="DS131" i="16"/>
  <c r="DT131" i="16"/>
  <c r="DP132" i="16"/>
  <c r="DQ132" i="16"/>
  <c r="DR132" i="16"/>
  <c r="DS132" i="16"/>
  <c r="DT132" i="16"/>
  <c r="DP133" i="16"/>
  <c r="DQ133" i="16"/>
  <c r="DR133" i="16"/>
  <c r="DS133" i="16"/>
  <c r="DT133" i="16"/>
  <c r="DT136" i="16"/>
  <c r="J15" i="14"/>
  <c r="F10" i="15"/>
  <c r="J14" i="14"/>
  <c r="F9" i="15"/>
  <c r="J13" i="14"/>
  <c r="F8" i="15"/>
  <c r="J12" i="14"/>
  <c r="F7" i="15"/>
  <c r="J10" i="14"/>
  <c r="F6" i="15"/>
  <c r="J9" i="14"/>
  <c r="F5" i="15"/>
  <c r="J6" i="14"/>
  <c r="F4" i="15"/>
  <c r="J3" i="14"/>
  <c r="F2" i="15"/>
  <c r="K16" i="14"/>
  <c r="L16" i="14"/>
  <c r="K15" i="14"/>
  <c r="L15" i="14"/>
  <c r="K13" i="14"/>
  <c r="L13" i="14"/>
  <c r="K11" i="14"/>
  <c r="L11" i="14"/>
  <c r="K10" i="14"/>
  <c r="L10" i="14"/>
  <c r="K9" i="14"/>
  <c r="L9" i="14"/>
  <c r="K8" i="14"/>
  <c r="L8" i="14"/>
  <c r="K7" i="14"/>
  <c r="L7" i="14"/>
  <c r="K5" i="14"/>
  <c r="L5" i="14"/>
  <c r="K4" i="14"/>
  <c r="L4" i="14"/>
  <c r="K3" i="14"/>
  <c r="L3" i="14"/>
  <c r="K2" i="14"/>
  <c r="L2" i="14"/>
  <c r="H13" i="14"/>
  <c r="H2" i="14"/>
  <c r="I2" i="14"/>
  <c r="H16" i="14"/>
  <c r="I16" i="14"/>
  <c r="H15" i="14"/>
  <c r="I15" i="14"/>
  <c r="I13" i="14"/>
  <c r="H11" i="14"/>
  <c r="I11" i="14"/>
  <c r="H10" i="14"/>
  <c r="I10" i="14"/>
  <c r="H9" i="14"/>
  <c r="I9" i="14"/>
  <c r="H8" i="14"/>
  <c r="I8" i="14"/>
  <c r="H7" i="14"/>
  <c r="I7" i="14"/>
  <c r="H5" i="14"/>
  <c r="I5" i="14"/>
  <c r="H4" i="14"/>
  <c r="I4" i="14"/>
  <c r="H3" i="14"/>
  <c r="I3" i="14"/>
  <c r="E16" i="14"/>
  <c r="F16" i="14"/>
  <c r="E15" i="14"/>
  <c r="F15" i="14"/>
  <c r="E13" i="14"/>
  <c r="F13" i="14"/>
  <c r="E11" i="14"/>
  <c r="F11" i="14"/>
  <c r="E10" i="14"/>
  <c r="F10" i="14"/>
  <c r="E9" i="14"/>
  <c r="F9" i="14"/>
  <c r="E8" i="14"/>
  <c r="F8" i="14"/>
  <c r="E7" i="14"/>
  <c r="F7" i="14"/>
  <c r="E5" i="14"/>
  <c r="F5" i="14"/>
  <c r="G6" i="14"/>
  <c r="G4" i="15"/>
  <c r="H4" i="15"/>
  <c r="G9" i="14"/>
  <c r="G5" i="15"/>
  <c r="H5" i="15"/>
  <c r="G10" i="14"/>
  <c r="G6" i="15"/>
  <c r="H6" i="15"/>
  <c r="G12" i="14"/>
  <c r="G7" i="15"/>
  <c r="H7" i="15"/>
  <c r="G13" i="14"/>
  <c r="G8" i="15"/>
  <c r="H8" i="15"/>
  <c r="G14" i="14"/>
  <c r="G9" i="15"/>
  <c r="H9" i="15"/>
  <c r="G15" i="14"/>
  <c r="G10" i="15"/>
  <c r="H10" i="15"/>
  <c r="H11" i="15"/>
  <c r="G3" i="14"/>
  <c r="G2" i="15"/>
  <c r="H2" i="15"/>
  <c r="C9" i="14"/>
  <c r="D9" i="14"/>
  <c r="D5" i="15"/>
  <c r="E5" i="15"/>
  <c r="C10" i="14"/>
  <c r="D10" i="14"/>
  <c r="D6" i="15"/>
  <c r="E6" i="15"/>
  <c r="C12" i="14"/>
  <c r="D12" i="14"/>
  <c r="D7" i="15"/>
  <c r="E7" i="15"/>
  <c r="C13" i="14"/>
  <c r="D13" i="14"/>
  <c r="D8" i="15"/>
  <c r="E8" i="15"/>
  <c r="C14" i="14"/>
  <c r="D14" i="14"/>
  <c r="D9" i="15"/>
  <c r="E9" i="15"/>
  <c r="C15" i="14"/>
  <c r="D15" i="14"/>
  <c r="D10" i="15"/>
  <c r="E10" i="15"/>
  <c r="C3" i="14"/>
  <c r="D3" i="14"/>
  <c r="D2" i="15"/>
  <c r="E2" i="15"/>
  <c r="I11" i="15"/>
  <c r="J11" i="15"/>
  <c r="K11" i="15"/>
  <c r="M11" i="15"/>
  <c r="O11" i="15"/>
  <c r="L11" i="15"/>
  <c r="N11" i="15"/>
  <c r="P11" i="15"/>
  <c r="I10" i="15"/>
  <c r="J10" i="15"/>
  <c r="K10" i="15"/>
  <c r="M10" i="15"/>
  <c r="O10" i="15"/>
  <c r="L10" i="15"/>
  <c r="N10" i="15"/>
  <c r="P10" i="15"/>
  <c r="J2" i="15"/>
  <c r="K2" i="15"/>
  <c r="M2" i="15"/>
  <c r="O2" i="15"/>
  <c r="L2" i="15"/>
  <c r="N2" i="15"/>
  <c r="P2" i="15"/>
  <c r="E4" i="14"/>
  <c r="F4" i="14"/>
  <c r="C2" i="14"/>
  <c r="C4" i="14"/>
  <c r="D4" i="14"/>
  <c r="D5" i="14"/>
  <c r="C7" i="14"/>
  <c r="D7" i="14"/>
  <c r="C8" i="14"/>
  <c r="D8" i="14"/>
  <c r="C11" i="14"/>
  <c r="D11" i="14"/>
  <c r="C16" i="14"/>
  <c r="D16" i="14"/>
  <c r="D2" i="14"/>
  <c r="E3" i="14"/>
  <c r="F3" i="14"/>
  <c r="E2" i="14"/>
  <c r="F2" i="14"/>
  <c r="G2" i="14"/>
  <c r="G5" i="14"/>
  <c r="G7" i="14"/>
  <c r="G8" i="14"/>
  <c r="G11" i="14"/>
  <c r="G16" i="14"/>
  <c r="J16" i="14"/>
  <c r="J11" i="14"/>
  <c r="J8" i="14"/>
  <c r="J7" i="14"/>
  <c r="J5" i="14"/>
  <c r="J2" i="14"/>
  <c r="U293" i="6"/>
  <c r="U292" i="6"/>
  <c r="S293" i="6"/>
  <c r="R293" i="6"/>
  <c r="Q293" i="6"/>
  <c r="P293" i="6"/>
  <c r="O293" i="6"/>
  <c r="L293" i="6"/>
  <c r="P292" i="6"/>
  <c r="Q292" i="6"/>
  <c r="O292" i="6"/>
  <c r="R292" i="6"/>
  <c r="S292" i="6"/>
  <c r="L292" i="6"/>
  <c r="U291" i="6"/>
  <c r="S291" i="6"/>
  <c r="R291" i="6"/>
  <c r="Q291" i="6"/>
  <c r="P291" i="6"/>
  <c r="O291" i="6"/>
  <c r="L291" i="6"/>
  <c r="L68" i="6"/>
  <c r="AA68" i="6"/>
  <c r="U68" i="6"/>
  <c r="S68" i="6"/>
  <c r="Q72" i="6"/>
  <c r="R68" i="6"/>
  <c r="V68" i="6"/>
  <c r="V72" i="6"/>
  <c r="R72" i="6"/>
  <c r="W68" i="6"/>
  <c r="W28" i="6"/>
  <c r="W29" i="6"/>
  <c r="W30" i="6"/>
  <c r="W32" i="6"/>
  <c r="W33" i="6"/>
  <c r="W39" i="6"/>
  <c r="W40" i="6"/>
  <c r="W41" i="6"/>
  <c r="W42" i="6"/>
  <c r="W43" i="6"/>
  <c r="W44" i="6"/>
  <c r="W45" i="6"/>
  <c r="W46" i="6"/>
  <c r="W47" i="6"/>
  <c r="W48" i="6"/>
  <c r="W49" i="6"/>
  <c r="W50" i="6"/>
  <c r="W52" i="6"/>
  <c r="W53" i="6"/>
  <c r="W54" i="6"/>
  <c r="W55" i="6"/>
  <c r="W56" i="6"/>
  <c r="W57" i="6"/>
  <c r="W59" i="6"/>
  <c r="W60" i="6"/>
  <c r="W61" i="6"/>
  <c r="W63" i="6"/>
  <c r="W64" i="6"/>
  <c r="W65" i="6"/>
  <c r="W66" i="6"/>
  <c r="W67" i="6"/>
  <c r="W72" i="6"/>
  <c r="W73" i="6"/>
  <c r="Z68" i="6"/>
  <c r="Z28" i="6"/>
  <c r="Z29" i="6"/>
  <c r="Z30" i="6"/>
  <c r="Z32" i="6"/>
  <c r="Z33" i="6"/>
  <c r="Z39" i="6"/>
  <c r="Z40" i="6"/>
  <c r="Z41" i="6"/>
  <c r="Z42" i="6"/>
  <c r="Z43" i="6"/>
  <c r="Z44" i="6"/>
  <c r="Z45" i="6"/>
  <c r="Z46" i="6"/>
  <c r="Z47" i="6"/>
  <c r="Z48" i="6"/>
  <c r="Z49" i="6"/>
  <c r="Z50" i="6"/>
  <c r="Z52" i="6"/>
  <c r="Z53" i="6"/>
  <c r="Z54" i="6"/>
  <c r="Z55" i="6"/>
  <c r="Z56" i="6"/>
  <c r="Z57" i="6"/>
  <c r="Z59" i="6"/>
  <c r="Z60" i="6"/>
  <c r="Z61" i="6"/>
  <c r="Z63" i="6"/>
  <c r="Z64" i="6"/>
  <c r="Z65" i="6"/>
  <c r="Z66" i="6"/>
  <c r="Z67" i="6"/>
  <c r="Z72" i="6"/>
  <c r="AA28" i="6"/>
  <c r="AA29" i="6"/>
  <c r="AA30" i="6"/>
  <c r="AA32" i="6"/>
  <c r="AA33" i="6"/>
  <c r="AA39" i="6"/>
  <c r="AA40" i="6"/>
  <c r="AA41" i="6"/>
  <c r="AA42" i="6"/>
  <c r="AA43" i="6"/>
  <c r="AA44" i="6"/>
  <c r="AA45" i="6"/>
  <c r="AA46" i="6"/>
  <c r="AA47" i="6"/>
  <c r="AA48" i="6"/>
  <c r="AA49" i="6"/>
  <c r="AA50" i="6"/>
  <c r="AA52" i="6"/>
  <c r="AA53" i="6"/>
  <c r="AA54" i="6"/>
  <c r="AA55" i="6"/>
  <c r="AA56" i="6"/>
  <c r="AA57" i="6"/>
  <c r="AA59" i="6"/>
  <c r="AA60" i="6"/>
  <c r="AA61" i="6"/>
  <c r="AA63" i="6"/>
  <c r="AA64" i="6"/>
  <c r="AA65" i="6"/>
  <c r="AA66" i="6"/>
  <c r="AA67" i="6"/>
  <c r="AA72" i="6"/>
  <c r="AA73" i="6"/>
  <c r="X68" i="6"/>
  <c r="Y68" i="6"/>
  <c r="Y72" i="6"/>
  <c r="Y73" i="6"/>
  <c r="O68" i="6"/>
  <c r="P68" i="6"/>
  <c r="L290" i="6"/>
  <c r="O290" i="6"/>
  <c r="U290" i="6"/>
  <c r="P290" i="6"/>
  <c r="Q290" i="6"/>
  <c r="R290" i="6"/>
  <c r="S290" i="6"/>
  <c r="O289" i="6"/>
  <c r="U289" i="6"/>
  <c r="P289" i="6"/>
  <c r="Q289" i="6"/>
  <c r="R289" i="6"/>
  <c r="S289" i="6"/>
  <c r="L289" i="6"/>
  <c r="A290" i="6"/>
  <c r="A292" i="6"/>
  <c r="A293" i="6"/>
  <c r="A294" i="6"/>
  <c r="A295" i="6"/>
  <c r="A296" i="6"/>
  <c r="A297" i="6"/>
  <c r="A298" i="6"/>
  <c r="A299" i="6"/>
  <c r="O288" i="6"/>
  <c r="U288" i="6"/>
  <c r="P288" i="6"/>
  <c r="Q288" i="6"/>
  <c r="R288" i="6"/>
  <c r="S288" i="6"/>
  <c r="L288" i="6"/>
  <c r="O287" i="6"/>
  <c r="U287" i="6"/>
  <c r="P287" i="6"/>
  <c r="Q287" i="6"/>
  <c r="R287" i="6"/>
  <c r="S287" i="6"/>
  <c r="L287" i="6"/>
  <c r="A66" i="6"/>
  <c r="A67" i="6"/>
  <c r="O286" i="6"/>
  <c r="U286" i="6"/>
  <c r="P286" i="6"/>
  <c r="Q286" i="6"/>
  <c r="R286" i="6"/>
  <c r="S286" i="6"/>
  <c r="L286" i="6"/>
  <c r="O285" i="6"/>
  <c r="U285" i="6"/>
  <c r="P285" i="6"/>
  <c r="Q285" i="6"/>
  <c r="R285" i="6"/>
  <c r="S285" i="6"/>
  <c r="L285" i="6"/>
  <c r="P284" i="6"/>
  <c r="Q284" i="6"/>
  <c r="S284" i="6"/>
  <c r="O284" i="6"/>
  <c r="R284" i="6"/>
  <c r="U284" i="6"/>
  <c r="L284" i="6"/>
  <c r="P283" i="6"/>
  <c r="Q283" i="6"/>
  <c r="S283" i="6"/>
  <c r="O283" i="6"/>
  <c r="R283" i="6"/>
  <c r="U283" i="6"/>
  <c r="L283" i="6"/>
  <c r="L282" i="6"/>
  <c r="P282" i="6"/>
  <c r="Q282" i="6"/>
  <c r="O282" i="6"/>
  <c r="R282" i="6"/>
  <c r="S282" i="6"/>
  <c r="U282" i="6"/>
  <c r="U281" i="6"/>
  <c r="P281" i="6"/>
  <c r="Q281" i="6"/>
  <c r="O281" i="6"/>
  <c r="R281" i="6"/>
  <c r="S281" i="6"/>
  <c r="U67" i="6"/>
  <c r="S67" i="6"/>
  <c r="R67" i="6"/>
  <c r="O67" i="6"/>
  <c r="P67" i="6"/>
  <c r="D40" i="12"/>
  <c r="V67" i="6"/>
  <c r="X67" i="6"/>
  <c r="Y67" i="6"/>
  <c r="L67" i="6"/>
  <c r="D39" i="12"/>
  <c r="O66" i="6"/>
  <c r="P66" i="6"/>
  <c r="S66" i="6"/>
  <c r="U66" i="6"/>
  <c r="R66" i="6"/>
  <c r="V66" i="6"/>
  <c r="V28" i="6"/>
  <c r="V29" i="6"/>
  <c r="V30" i="6"/>
  <c r="V32" i="6"/>
  <c r="V33" i="6"/>
  <c r="V39" i="6"/>
  <c r="V40" i="6"/>
  <c r="V41" i="6"/>
  <c r="V42" i="6"/>
  <c r="V43" i="6"/>
  <c r="V44" i="6"/>
  <c r="V45" i="6"/>
  <c r="V46" i="6"/>
  <c r="V47" i="6"/>
  <c r="V48" i="6"/>
  <c r="V49" i="6"/>
  <c r="V50" i="6"/>
  <c r="V52" i="6"/>
  <c r="V53" i="6"/>
  <c r="V54" i="6"/>
  <c r="V55" i="6"/>
  <c r="V56" i="6"/>
  <c r="V57" i="6"/>
  <c r="V59" i="6"/>
  <c r="V60" i="6"/>
  <c r="V61" i="6"/>
  <c r="V63" i="6"/>
  <c r="V64" i="6"/>
  <c r="V65" i="6"/>
  <c r="T72" i="6"/>
  <c r="N72" i="6"/>
  <c r="M72" i="6"/>
  <c r="O72" i="6"/>
  <c r="P72" i="6"/>
  <c r="S72" i="6"/>
  <c r="U72" i="6"/>
  <c r="X66" i="6"/>
  <c r="Y66" i="6"/>
  <c r="X28" i="6"/>
  <c r="Y28" i="6"/>
  <c r="X29" i="6"/>
  <c r="Y29" i="6"/>
  <c r="X30" i="6"/>
  <c r="Y30" i="6"/>
  <c r="X32" i="6"/>
  <c r="Y32" i="6"/>
  <c r="X33" i="6"/>
  <c r="Y33" i="6"/>
  <c r="X39" i="6"/>
  <c r="Y39" i="6"/>
  <c r="X40" i="6"/>
  <c r="Y40" i="6"/>
  <c r="X41" i="6"/>
  <c r="Y41" i="6"/>
  <c r="X42" i="6"/>
  <c r="Y42" i="6"/>
  <c r="X43" i="6"/>
  <c r="Y43" i="6"/>
  <c r="X44" i="6"/>
  <c r="Y44" i="6"/>
  <c r="X45" i="6"/>
  <c r="Y45" i="6"/>
  <c r="X46" i="6"/>
  <c r="Y46" i="6"/>
  <c r="X47" i="6"/>
  <c r="Y47" i="6"/>
  <c r="X48" i="6"/>
  <c r="Y48" i="6"/>
  <c r="X49" i="6"/>
  <c r="Y49" i="6"/>
  <c r="X50" i="6"/>
  <c r="Y50" i="6"/>
  <c r="X52" i="6"/>
  <c r="Y52" i="6"/>
  <c r="X53" i="6"/>
  <c r="Y53" i="6"/>
  <c r="X54" i="6"/>
  <c r="Y54" i="6"/>
  <c r="X55" i="6"/>
  <c r="Y55" i="6"/>
  <c r="X56" i="6"/>
  <c r="Y56" i="6"/>
  <c r="X57" i="6"/>
  <c r="Y57" i="6"/>
  <c r="X59" i="6"/>
  <c r="Y59" i="6"/>
  <c r="X60" i="6"/>
  <c r="Y60" i="6"/>
  <c r="X61" i="6"/>
  <c r="Y61" i="6"/>
  <c r="X63" i="6"/>
  <c r="Y63" i="6"/>
  <c r="X64" i="6"/>
  <c r="Y64" i="6"/>
  <c r="X65" i="6"/>
  <c r="Y65" i="6"/>
  <c r="L66" i="6"/>
  <c r="A83" i="13"/>
  <c r="T83" i="13"/>
  <c r="U83" i="13" a="1"/>
  <c r="U83" i="13"/>
  <c r="V83" i="13"/>
  <c r="W83" i="13"/>
  <c r="A81" i="13"/>
  <c r="X83" i="13" a="1"/>
  <c r="X83" i="13"/>
  <c r="O83" i="13"/>
  <c r="Y83" i="13"/>
  <c r="Z83" i="13"/>
  <c r="AA83" i="13" a="1"/>
  <c r="AA83" i="13"/>
  <c r="P83" i="13"/>
  <c r="Q83" i="13"/>
  <c r="R83" i="13"/>
  <c r="S83" i="13"/>
  <c r="A84" i="13"/>
  <c r="T84" i="13"/>
  <c r="U84" i="13" a="1"/>
  <c r="U84" i="13"/>
  <c r="V84" i="13"/>
  <c r="W84" i="13"/>
  <c r="A82" i="13"/>
  <c r="X84" i="13" a="1"/>
  <c r="X84" i="13"/>
  <c r="O84" i="13"/>
  <c r="Y84" i="13"/>
  <c r="Z84" i="13"/>
  <c r="AA84" i="13" a="1"/>
  <c r="AA84" i="13"/>
  <c r="P84" i="13"/>
  <c r="Q84" i="13"/>
  <c r="R84" i="13"/>
  <c r="S84" i="13"/>
  <c r="A85" i="13"/>
  <c r="T85" i="13"/>
  <c r="U85" i="13" a="1"/>
  <c r="U85" i="13"/>
  <c r="V85" i="13"/>
  <c r="W85" i="13"/>
  <c r="X85" i="13" a="1"/>
  <c r="X85" i="13"/>
  <c r="O85" i="13"/>
  <c r="Y85" i="13"/>
  <c r="Z85" i="13"/>
  <c r="AA85" i="13" a="1"/>
  <c r="AA85" i="13"/>
  <c r="P85" i="13"/>
  <c r="Q85" i="13"/>
  <c r="R85" i="13"/>
  <c r="S85" i="13"/>
  <c r="A86" i="13"/>
  <c r="T86" i="13"/>
  <c r="U86" i="13" a="1"/>
  <c r="U86" i="13"/>
  <c r="V86" i="13"/>
  <c r="W86" i="13"/>
  <c r="X86" i="13" a="1"/>
  <c r="X86" i="13"/>
  <c r="O86" i="13"/>
  <c r="Y86" i="13"/>
  <c r="Z86" i="13"/>
  <c r="AA86" i="13" a="1"/>
  <c r="AA86" i="13"/>
  <c r="P86" i="13"/>
  <c r="Q86" i="13"/>
  <c r="R86" i="13"/>
  <c r="S86" i="13"/>
  <c r="A87" i="13"/>
  <c r="T87" i="13"/>
  <c r="U87" i="13" a="1"/>
  <c r="U87" i="13"/>
  <c r="V87" i="13"/>
  <c r="W87" i="13"/>
  <c r="X87" i="13" a="1"/>
  <c r="X87" i="13"/>
  <c r="O87" i="13"/>
  <c r="Y87" i="13"/>
  <c r="Z87" i="13"/>
  <c r="AA87" i="13" a="1"/>
  <c r="AA87" i="13"/>
  <c r="P87" i="13"/>
  <c r="Q87" i="13"/>
  <c r="R87" i="13"/>
  <c r="S87" i="13"/>
  <c r="A88" i="13"/>
  <c r="T88" i="13"/>
  <c r="U88" i="13" a="1"/>
  <c r="U88" i="13"/>
  <c r="V88" i="13"/>
  <c r="W88" i="13"/>
  <c r="X88" i="13" a="1"/>
  <c r="X88" i="13"/>
  <c r="O88" i="13"/>
  <c r="Y88" i="13"/>
  <c r="Z88" i="13"/>
  <c r="AA88" i="13" a="1"/>
  <c r="AA88" i="13"/>
  <c r="P88" i="13"/>
  <c r="Q88" i="13"/>
  <c r="R88" i="13"/>
  <c r="S88" i="13"/>
  <c r="A89" i="13"/>
  <c r="T89" i="13"/>
  <c r="U89" i="13" a="1"/>
  <c r="U89" i="13"/>
  <c r="V89" i="13"/>
  <c r="W89" i="13"/>
  <c r="X89" i="13" a="1"/>
  <c r="X89" i="13"/>
  <c r="O89" i="13"/>
  <c r="Y89" i="13"/>
  <c r="Z89" i="13"/>
  <c r="AA89" i="13" a="1"/>
  <c r="AA89" i="13"/>
  <c r="P89" i="13"/>
  <c r="Q89" i="13"/>
  <c r="R89" i="13"/>
  <c r="S89" i="13"/>
  <c r="A90" i="13"/>
  <c r="T90" i="13"/>
  <c r="U90" i="13" a="1"/>
  <c r="U90" i="13"/>
  <c r="V90" i="13"/>
  <c r="W90" i="13"/>
  <c r="X90" i="13" a="1"/>
  <c r="X90" i="13"/>
  <c r="O90" i="13"/>
  <c r="Y90" i="13"/>
  <c r="Z90" i="13"/>
  <c r="AA90" i="13" a="1"/>
  <c r="AA90" i="13"/>
  <c r="P90" i="13"/>
  <c r="Q90" i="13"/>
  <c r="R90" i="13"/>
  <c r="S90" i="13"/>
  <c r="L90" i="13"/>
  <c r="T22" i="6"/>
  <c r="M22" i="6"/>
  <c r="O22" i="6"/>
  <c r="P22" i="6"/>
  <c r="S22" i="6"/>
  <c r="U22" i="6"/>
  <c r="Q22" i="6"/>
  <c r="R22" i="6"/>
  <c r="L281" i="6"/>
  <c r="L89" i="13"/>
  <c r="L88" i="13"/>
  <c r="L87" i="13"/>
  <c r="L86" i="13"/>
  <c r="L85" i="13"/>
  <c r="L84" i="13"/>
  <c r="L83" i="13"/>
  <c r="D38" i="12"/>
  <c r="A30" i="13"/>
  <c r="T22" i="13"/>
  <c r="U22" i="13" a="1"/>
  <c r="U22" i="13"/>
  <c r="V22" i="13"/>
  <c r="W22" i="13"/>
  <c r="A22" i="13"/>
  <c r="X22" i="13" a="1"/>
  <c r="X22" i="13"/>
  <c r="A25" i="13"/>
  <c r="T30" i="13"/>
  <c r="U30" i="13" a="1"/>
  <c r="U30" i="13"/>
  <c r="V30" i="13"/>
  <c r="W30" i="13"/>
  <c r="X30" i="13" a="1"/>
  <c r="X30" i="13"/>
  <c r="O30" i="13"/>
  <c r="A24" i="13"/>
  <c r="T26" i="13"/>
  <c r="U26" i="13" a="1"/>
  <c r="U26" i="13"/>
  <c r="V26" i="13"/>
  <c r="W26" i="13"/>
  <c r="A26" i="13"/>
  <c r="X26" i="13" a="1"/>
  <c r="X26" i="13"/>
  <c r="O26" i="13"/>
  <c r="O22" i="13"/>
  <c r="A23" i="13"/>
  <c r="T29" i="13"/>
  <c r="U29" i="13" a="1"/>
  <c r="U29" i="13"/>
  <c r="V29" i="13"/>
  <c r="W29" i="13"/>
  <c r="A29" i="13"/>
  <c r="X29" i="13" a="1"/>
  <c r="X29" i="13"/>
  <c r="O29" i="13"/>
  <c r="R30" i="13"/>
  <c r="Y30" i="13"/>
  <c r="Z30" i="13"/>
  <c r="AA30" i="13" a="1"/>
  <c r="AA30" i="13"/>
  <c r="P30" i="13"/>
  <c r="Q30" i="13"/>
  <c r="S30" i="13"/>
  <c r="O280" i="6"/>
  <c r="P280" i="6"/>
  <c r="Q280" i="6"/>
  <c r="R280" i="6"/>
  <c r="S280" i="6"/>
  <c r="U280" i="6"/>
  <c r="L280" i="6"/>
  <c r="O279" i="6"/>
  <c r="P279" i="6"/>
  <c r="Q279" i="6"/>
  <c r="R279" i="6"/>
  <c r="S279" i="6"/>
  <c r="U279" i="6"/>
  <c r="L279" i="6"/>
  <c r="O278" i="6"/>
  <c r="P278" i="6"/>
  <c r="Q278" i="6"/>
  <c r="R278" i="6"/>
  <c r="S278" i="6"/>
  <c r="U278" i="6"/>
  <c r="L278" i="6"/>
  <c r="AF65" i="6"/>
  <c r="O65" i="6"/>
  <c r="P65" i="6"/>
  <c r="S65" i="6"/>
  <c r="U65" i="6"/>
  <c r="R65" i="6"/>
  <c r="L65" i="6"/>
  <c r="A65" i="6"/>
  <c r="D37" i="12"/>
  <c r="O277" i="6"/>
  <c r="U277" i="6"/>
  <c r="P277" i="6"/>
  <c r="Q277" i="6"/>
  <c r="R277" i="6"/>
  <c r="S277" i="6"/>
  <c r="L277" i="6"/>
  <c r="O276" i="6"/>
  <c r="U276" i="6"/>
  <c r="P276" i="6"/>
  <c r="Q276" i="6"/>
  <c r="R276" i="6"/>
  <c r="S276" i="6"/>
  <c r="L276" i="6"/>
  <c r="O275" i="6"/>
  <c r="U275" i="6"/>
  <c r="P275" i="6"/>
  <c r="Q275" i="6"/>
  <c r="R275" i="6"/>
  <c r="S275" i="6"/>
  <c r="L275" i="6"/>
  <c r="O274" i="6"/>
  <c r="U274" i="6"/>
  <c r="P274" i="6"/>
  <c r="Q274" i="6"/>
  <c r="R274" i="6"/>
  <c r="S274" i="6"/>
  <c r="L274" i="6"/>
  <c r="O64" i="6"/>
  <c r="P64" i="6"/>
  <c r="S64" i="6"/>
  <c r="U64" i="6"/>
  <c r="R64" i="6"/>
  <c r="L64" i="6"/>
  <c r="AF64" i="6"/>
  <c r="A64" i="6"/>
  <c r="A272" i="6"/>
  <c r="A273" i="6"/>
  <c r="A274" i="6"/>
  <c r="A275" i="6"/>
  <c r="A276" i="6"/>
  <c r="A277" i="6"/>
  <c r="A278" i="6"/>
  <c r="A279" i="6"/>
  <c r="A280" i="6"/>
  <c r="A281" i="6"/>
  <c r="A282" i="6"/>
  <c r="A283" i="6"/>
  <c r="A284" i="6"/>
  <c r="A285" i="6"/>
  <c r="A286" i="6"/>
  <c r="A287" i="6"/>
  <c r="A288" i="6"/>
  <c r="A289" i="6"/>
  <c r="A271" i="6"/>
  <c r="A78" i="13"/>
  <c r="T78" i="13"/>
  <c r="U78" i="13" a="1"/>
  <c r="U78" i="13"/>
  <c r="V78" i="13"/>
  <c r="W78" i="13"/>
  <c r="A76" i="13"/>
  <c r="X78" i="13" a="1"/>
  <c r="X78" i="13"/>
  <c r="O78" i="13"/>
  <c r="Y78" i="13"/>
  <c r="Z78" i="13"/>
  <c r="AA78" i="13" a="1"/>
  <c r="AA78" i="13"/>
  <c r="P78" i="13"/>
  <c r="Q78" i="13"/>
  <c r="R78" i="13"/>
  <c r="S78" i="13"/>
  <c r="A79" i="13"/>
  <c r="T79" i="13"/>
  <c r="U79" i="13" a="1"/>
  <c r="U79" i="13"/>
  <c r="V79" i="13"/>
  <c r="W79" i="13"/>
  <c r="A77" i="13"/>
  <c r="X79" i="13" a="1"/>
  <c r="X79" i="13"/>
  <c r="O79" i="13"/>
  <c r="Y79" i="13"/>
  <c r="Z79" i="13"/>
  <c r="AA79" i="13" a="1"/>
  <c r="AA79" i="13"/>
  <c r="P79" i="13"/>
  <c r="Q79" i="13"/>
  <c r="R79" i="13"/>
  <c r="S79" i="13"/>
  <c r="A80" i="13"/>
  <c r="T80" i="13"/>
  <c r="U80" i="13" a="1"/>
  <c r="U80" i="13"/>
  <c r="V80" i="13"/>
  <c r="W80" i="13"/>
  <c r="X80" i="13" a="1"/>
  <c r="X80" i="13"/>
  <c r="O80" i="13"/>
  <c r="Y80" i="13"/>
  <c r="Z80" i="13"/>
  <c r="AA80" i="13" a="1"/>
  <c r="AA80" i="13"/>
  <c r="P80" i="13"/>
  <c r="Q80" i="13"/>
  <c r="R80" i="13"/>
  <c r="S80" i="13"/>
  <c r="T81" i="13"/>
  <c r="U81" i="13" a="1"/>
  <c r="U81" i="13"/>
  <c r="V81" i="13"/>
  <c r="W81" i="13"/>
  <c r="X81" i="13" a="1"/>
  <c r="X81" i="13"/>
  <c r="O81" i="13"/>
  <c r="Y81" i="13"/>
  <c r="Z81" i="13"/>
  <c r="AA81" i="13" a="1"/>
  <c r="AA81" i="13"/>
  <c r="P81" i="13"/>
  <c r="Q81" i="13"/>
  <c r="R81" i="13"/>
  <c r="S81" i="13"/>
  <c r="T82" i="13"/>
  <c r="U82" i="13" a="1"/>
  <c r="U82" i="13"/>
  <c r="V82" i="13"/>
  <c r="W82" i="13"/>
  <c r="X82" i="13" a="1"/>
  <c r="X82" i="13"/>
  <c r="O82" i="13"/>
  <c r="Y82" i="13"/>
  <c r="Z82" i="13"/>
  <c r="AA82" i="13" a="1"/>
  <c r="AA82" i="13"/>
  <c r="P82" i="13"/>
  <c r="Q82" i="13"/>
  <c r="R82" i="13"/>
  <c r="S82" i="13"/>
  <c r="L82" i="13"/>
  <c r="L81" i="13"/>
  <c r="L80" i="13"/>
  <c r="L79" i="13"/>
  <c r="L78" i="13"/>
  <c r="D36" i="12"/>
  <c r="L270" i="6"/>
  <c r="O270" i="6"/>
  <c r="U270" i="6"/>
  <c r="P270" i="6"/>
  <c r="Q270" i="6"/>
  <c r="R270" i="6"/>
  <c r="S270" i="6"/>
  <c r="A270" i="6"/>
  <c r="A269" i="6"/>
  <c r="O63" i="6"/>
  <c r="P63" i="6"/>
  <c r="S63" i="6"/>
  <c r="U63" i="6"/>
  <c r="R63" i="6"/>
  <c r="L63" i="6"/>
  <c r="AF63" i="6"/>
  <c r="R28" i="6"/>
  <c r="R29" i="6"/>
  <c r="R30" i="6"/>
  <c r="R32" i="6"/>
  <c r="R33" i="6"/>
  <c r="R39" i="6"/>
  <c r="R40" i="6"/>
  <c r="R41" i="6"/>
  <c r="R42" i="6"/>
  <c r="R43" i="6"/>
  <c r="R44" i="6"/>
  <c r="R45" i="6"/>
  <c r="R46" i="6"/>
  <c r="R47" i="6"/>
  <c r="R48" i="6"/>
  <c r="R49" i="6"/>
  <c r="R50" i="6"/>
  <c r="R52" i="6"/>
  <c r="R53" i="6"/>
  <c r="R54" i="6"/>
  <c r="R55" i="6"/>
  <c r="R56" i="6"/>
  <c r="R57" i="6"/>
  <c r="R59" i="6"/>
  <c r="R60" i="6"/>
  <c r="R61" i="6"/>
  <c r="R73" i="6"/>
  <c r="O28" i="6"/>
  <c r="P28" i="6"/>
  <c r="S28" i="6"/>
  <c r="U28" i="6"/>
  <c r="O29" i="6"/>
  <c r="P29" i="6"/>
  <c r="S29" i="6"/>
  <c r="U29" i="6"/>
  <c r="O30" i="6"/>
  <c r="P30" i="6"/>
  <c r="S30" i="6"/>
  <c r="U30" i="6"/>
  <c r="O32" i="6"/>
  <c r="P32" i="6"/>
  <c r="S32" i="6"/>
  <c r="U32" i="6"/>
  <c r="O33" i="6"/>
  <c r="P33" i="6"/>
  <c r="S33" i="6"/>
  <c r="U33" i="6"/>
  <c r="O39" i="6"/>
  <c r="P39" i="6"/>
  <c r="S39" i="6"/>
  <c r="U39" i="6"/>
  <c r="O40" i="6"/>
  <c r="P40" i="6"/>
  <c r="S40" i="6"/>
  <c r="U40" i="6"/>
  <c r="O41" i="6"/>
  <c r="P41" i="6"/>
  <c r="S41" i="6"/>
  <c r="U41" i="6"/>
  <c r="O42" i="6"/>
  <c r="P42" i="6"/>
  <c r="S42" i="6"/>
  <c r="U42" i="6"/>
  <c r="O43" i="6"/>
  <c r="P43" i="6"/>
  <c r="S43" i="6"/>
  <c r="U43" i="6"/>
  <c r="O44" i="6"/>
  <c r="P44" i="6"/>
  <c r="S44" i="6"/>
  <c r="U44" i="6"/>
  <c r="O45" i="6"/>
  <c r="P45" i="6"/>
  <c r="S45" i="6"/>
  <c r="U45" i="6"/>
  <c r="O46" i="6"/>
  <c r="P46" i="6"/>
  <c r="S46" i="6"/>
  <c r="U46" i="6"/>
  <c r="O47" i="6"/>
  <c r="P47" i="6"/>
  <c r="S47" i="6"/>
  <c r="U47" i="6"/>
  <c r="O48" i="6"/>
  <c r="P48" i="6"/>
  <c r="S48" i="6"/>
  <c r="U48" i="6"/>
  <c r="O49" i="6"/>
  <c r="P49" i="6"/>
  <c r="S49" i="6"/>
  <c r="U49" i="6"/>
  <c r="O50" i="6"/>
  <c r="P50" i="6"/>
  <c r="S50" i="6"/>
  <c r="U50" i="6"/>
  <c r="O52" i="6"/>
  <c r="P52" i="6"/>
  <c r="S52" i="6"/>
  <c r="U52" i="6"/>
  <c r="O53" i="6"/>
  <c r="P53" i="6"/>
  <c r="S53" i="6"/>
  <c r="U53" i="6"/>
  <c r="O54" i="6"/>
  <c r="P54" i="6"/>
  <c r="S54" i="6"/>
  <c r="U54" i="6"/>
  <c r="O55" i="6"/>
  <c r="P55" i="6"/>
  <c r="S55" i="6"/>
  <c r="U55" i="6"/>
  <c r="O56" i="6"/>
  <c r="P56" i="6"/>
  <c r="S56" i="6"/>
  <c r="U56" i="6"/>
  <c r="O57" i="6"/>
  <c r="P57" i="6"/>
  <c r="S57" i="6"/>
  <c r="U57" i="6"/>
  <c r="O59" i="6"/>
  <c r="P59" i="6"/>
  <c r="S59" i="6"/>
  <c r="U59" i="6"/>
  <c r="O60" i="6"/>
  <c r="P60" i="6"/>
  <c r="S60" i="6"/>
  <c r="U60" i="6"/>
  <c r="O61" i="6"/>
  <c r="P61" i="6"/>
  <c r="S61" i="6"/>
  <c r="U61" i="6"/>
  <c r="U73" i="6"/>
  <c r="A57" i="6"/>
  <c r="A58" i="6"/>
  <c r="A59" i="6"/>
  <c r="A60" i="6"/>
  <c r="A61" i="6"/>
  <c r="A62" i="6"/>
  <c r="A63" i="6"/>
  <c r="O268" i="6"/>
  <c r="P268" i="6"/>
  <c r="Q268" i="6"/>
  <c r="R268" i="6"/>
  <c r="S268" i="6"/>
  <c r="U268" i="6"/>
  <c r="O267" i="6"/>
  <c r="U267" i="6"/>
  <c r="L268" i="6"/>
  <c r="P267" i="6"/>
  <c r="Q267" i="6"/>
  <c r="R267" i="6"/>
  <c r="S267" i="6"/>
  <c r="L267" i="6"/>
  <c r="O266" i="6"/>
  <c r="U266" i="6"/>
  <c r="P266" i="6"/>
  <c r="Q266" i="6"/>
  <c r="R266" i="6"/>
  <c r="S266" i="6"/>
  <c r="L266" i="6"/>
  <c r="A266" i="6"/>
  <c r="O265" i="6"/>
  <c r="U265" i="6"/>
  <c r="P265" i="6"/>
  <c r="Q265" i="6"/>
  <c r="R265" i="6"/>
  <c r="S265" i="6"/>
  <c r="L265" i="6"/>
  <c r="D35" i="12"/>
  <c r="AF62" i="6"/>
  <c r="L61" i="6"/>
  <c r="AF61" i="6"/>
  <c r="T77" i="13"/>
  <c r="U77" i="13" a="1"/>
  <c r="U77" i="13"/>
  <c r="V77" i="13"/>
  <c r="W77" i="13"/>
  <c r="A75" i="13"/>
  <c r="X77" i="13" a="1"/>
  <c r="X77" i="13"/>
  <c r="O77" i="13"/>
  <c r="Y77" i="13"/>
  <c r="Z77" i="13"/>
  <c r="AA77" i="13" a="1"/>
  <c r="AA77" i="13"/>
  <c r="P77" i="13"/>
  <c r="Q77" i="13"/>
  <c r="R77" i="13"/>
  <c r="S77" i="13"/>
  <c r="L77" i="13"/>
  <c r="O260" i="6"/>
  <c r="U260" i="6"/>
  <c r="P260" i="6"/>
  <c r="Q260" i="6"/>
  <c r="R260" i="6"/>
  <c r="S260" i="6"/>
  <c r="L260" i="6"/>
  <c r="T76" i="13"/>
  <c r="T75" i="13"/>
  <c r="V75" i="13"/>
  <c r="V76" i="13"/>
  <c r="U76" i="13" a="1"/>
  <c r="U76" i="13"/>
  <c r="W76" i="13"/>
  <c r="A74" i="13"/>
  <c r="X76" i="13" a="1"/>
  <c r="X76" i="13"/>
  <c r="O76" i="13"/>
  <c r="Y76" i="13"/>
  <c r="Z76" i="13"/>
  <c r="AA76" i="13" a="1"/>
  <c r="AA76" i="13"/>
  <c r="P76" i="13"/>
  <c r="Q76" i="13"/>
  <c r="R76" i="13"/>
  <c r="S76" i="13"/>
  <c r="L76" i="13"/>
  <c r="O258" i="6"/>
  <c r="U258" i="6"/>
  <c r="P258" i="6"/>
  <c r="Q258" i="6"/>
  <c r="R258" i="6"/>
  <c r="S258" i="6"/>
  <c r="L258" i="6"/>
  <c r="U75" i="13" a="1"/>
  <c r="U75" i="13"/>
  <c r="W75" i="13"/>
  <c r="A73" i="13"/>
  <c r="X75" i="13" a="1"/>
  <c r="X75" i="13"/>
  <c r="O75" i="13"/>
  <c r="Y75" i="13"/>
  <c r="Z75" i="13"/>
  <c r="AA75" i="13" a="1"/>
  <c r="AA75" i="13"/>
  <c r="P75" i="13"/>
  <c r="Q75" i="13"/>
  <c r="R75" i="13"/>
  <c r="S75" i="13"/>
  <c r="L75" i="13"/>
  <c r="O257" i="6"/>
  <c r="P257" i="6"/>
  <c r="Q257" i="6"/>
  <c r="R257" i="6"/>
  <c r="S257" i="6"/>
  <c r="U257" i="6"/>
  <c r="L257" i="6"/>
  <c r="A71" i="13"/>
  <c r="T71" i="13"/>
  <c r="U71" i="13" a="1"/>
  <c r="U71" i="13"/>
  <c r="V71" i="13"/>
  <c r="W71" i="13"/>
  <c r="A69" i="13"/>
  <c r="X71" i="13" a="1"/>
  <c r="X71" i="13"/>
  <c r="O71" i="13"/>
  <c r="Y71" i="13"/>
  <c r="Z71" i="13"/>
  <c r="AA71" i="13" a="1"/>
  <c r="AA71" i="13"/>
  <c r="P71" i="13"/>
  <c r="Q71" i="13"/>
  <c r="R71" i="13"/>
  <c r="S71" i="13"/>
  <c r="A72" i="13"/>
  <c r="T72" i="13"/>
  <c r="U72" i="13" a="1"/>
  <c r="U72" i="13"/>
  <c r="V72" i="13"/>
  <c r="W72" i="13"/>
  <c r="A70" i="13"/>
  <c r="X72" i="13" a="1"/>
  <c r="X72" i="13"/>
  <c r="O72" i="13"/>
  <c r="Y72" i="13"/>
  <c r="Z72" i="13"/>
  <c r="AA72" i="13" a="1"/>
  <c r="AA72" i="13"/>
  <c r="P72" i="13"/>
  <c r="Q72" i="13"/>
  <c r="R72" i="13"/>
  <c r="S72" i="13"/>
  <c r="T73" i="13"/>
  <c r="U73" i="13" a="1"/>
  <c r="U73" i="13"/>
  <c r="V73" i="13"/>
  <c r="W73" i="13"/>
  <c r="X73" i="13" a="1"/>
  <c r="X73" i="13"/>
  <c r="O73" i="13"/>
  <c r="Y73" i="13"/>
  <c r="Z73" i="13"/>
  <c r="AA73" i="13" a="1"/>
  <c r="AA73" i="13"/>
  <c r="P73" i="13"/>
  <c r="Q73" i="13"/>
  <c r="R73" i="13"/>
  <c r="S73" i="13"/>
  <c r="T74" i="13"/>
  <c r="U74" i="13" a="1"/>
  <c r="U74" i="13"/>
  <c r="V74" i="13"/>
  <c r="W74" i="13"/>
  <c r="X74" i="13" a="1"/>
  <c r="X74" i="13"/>
  <c r="O74" i="13"/>
  <c r="Y74" i="13"/>
  <c r="Z74" i="13"/>
  <c r="AA74" i="13" a="1"/>
  <c r="AA74" i="13"/>
  <c r="P74" i="13"/>
  <c r="Q74" i="13"/>
  <c r="R74" i="13"/>
  <c r="S74" i="13"/>
  <c r="L74" i="13"/>
  <c r="L73" i="13"/>
  <c r="L72" i="13"/>
  <c r="L71" i="13"/>
  <c r="D34" i="12"/>
  <c r="A257" i="6"/>
  <c r="AB60" i="6"/>
  <c r="L60" i="6"/>
  <c r="AF60" i="6"/>
  <c r="O256" i="6"/>
  <c r="U256" i="6"/>
  <c r="P256" i="6"/>
  <c r="Q256" i="6"/>
  <c r="R256" i="6"/>
  <c r="S256" i="6"/>
  <c r="O255" i="6"/>
  <c r="U255" i="6"/>
  <c r="P255" i="6"/>
  <c r="Q255" i="6"/>
  <c r="R255" i="6"/>
  <c r="S255" i="6"/>
  <c r="L255" i="6"/>
  <c r="L256" i="6"/>
  <c r="T69" i="13"/>
  <c r="U69" i="13" a="1"/>
  <c r="U69" i="13"/>
  <c r="V69" i="13"/>
  <c r="W69" i="13"/>
  <c r="A67" i="13"/>
  <c r="X69" i="13" a="1"/>
  <c r="X69" i="13"/>
  <c r="O69" i="13"/>
  <c r="Y69" i="13"/>
  <c r="Z69" i="13"/>
  <c r="AA69" i="13" a="1"/>
  <c r="AA69" i="13"/>
  <c r="P69" i="13"/>
  <c r="Q69" i="13"/>
  <c r="R69" i="13"/>
  <c r="S69" i="13"/>
  <c r="T70" i="13"/>
  <c r="U70" i="13" a="1"/>
  <c r="U70" i="13"/>
  <c r="V70" i="13"/>
  <c r="W70" i="13"/>
  <c r="A68" i="13"/>
  <c r="X70" i="13" a="1"/>
  <c r="X70" i="13"/>
  <c r="O70" i="13"/>
  <c r="Y70" i="13"/>
  <c r="Z70" i="13"/>
  <c r="AA70" i="13" a="1"/>
  <c r="AA70" i="13"/>
  <c r="P70" i="13"/>
  <c r="Q70" i="13"/>
  <c r="R70" i="13"/>
  <c r="S70" i="13"/>
  <c r="L70" i="13"/>
  <c r="L69" i="13"/>
  <c r="L68" i="13"/>
  <c r="L67" i="13"/>
  <c r="L66" i="13"/>
  <c r="L65" i="13"/>
  <c r="A66" i="13"/>
  <c r="U66" i="13" a="1"/>
  <c r="U66" i="13"/>
  <c r="W66" i="13"/>
  <c r="A51" i="13"/>
  <c r="T51" i="13"/>
  <c r="U51" i="13" a="1"/>
  <c r="U51" i="13"/>
  <c r="V51" i="13"/>
  <c r="W51" i="13"/>
  <c r="A49" i="13"/>
  <c r="X51" i="13" a="1"/>
  <c r="X51" i="13"/>
  <c r="O51" i="13"/>
  <c r="Y51" i="13"/>
  <c r="Z51" i="13"/>
  <c r="AA51" i="13" a="1"/>
  <c r="AA51" i="13"/>
  <c r="P51" i="13"/>
  <c r="Q51" i="13"/>
  <c r="R51" i="13"/>
  <c r="S51" i="13"/>
  <c r="A52" i="13"/>
  <c r="T52" i="13"/>
  <c r="U52" i="13" a="1"/>
  <c r="U52" i="13"/>
  <c r="V52" i="13"/>
  <c r="W52" i="13"/>
  <c r="A50" i="13"/>
  <c r="X52" i="13" a="1"/>
  <c r="X52" i="13"/>
  <c r="O52" i="13"/>
  <c r="Y52" i="13"/>
  <c r="Z52" i="13"/>
  <c r="AA52" i="13" a="1"/>
  <c r="AA52" i="13"/>
  <c r="P52" i="13"/>
  <c r="Q52" i="13"/>
  <c r="R52" i="13"/>
  <c r="S52" i="13"/>
  <c r="A53" i="13"/>
  <c r="T53" i="13"/>
  <c r="U53" i="13" a="1"/>
  <c r="U53" i="13"/>
  <c r="V53" i="13"/>
  <c r="W53" i="13"/>
  <c r="X53" i="13" a="1"/>
  <c r="X53" i="13"/>
  <c r="O53" i="13"/>
  <c r="Y53" i="13"/>
  <c r="Z53" i="13"/>
  <c r="AA53" i="13" a="1"/>
  <c r="AA53" i="13"/>
  <c r="P53" i="13"/>
  <c r="Q53" i="13"/>
  <c r="R53" i="13"/>
  <c r="S53" i="13"/>
  <c r="A54" i="13"/>
  <c r="T54" i="13"/>
  <c r="U54" i="13" a="1"/>
  <c r="U54" i="13"/>
  <c r="V54" i="13"/>
  <c r="W54" i="13"/>
  <c r="X54" i="13" a="1"/>
  <c r="X54" i="13"/>
  <c r="O54" i="13"/>
  <c r="Y54" i="13"/>
  <c r="Z54" i="13"/>
  <c r="AA54" i="13" a="1"/>
  <c r="AA54" i="13"/>
  <c r="P54" i="13"/>
  <c r="Q54" i="13"/>
  <c r="R54" i="13"/>
  <c r="S54" i="13"/>
  <c r="A55" i="13"/>
  <c r="T55" i="13"/>
  <c r="U55" i="13" a="1"/>
  <c r="U55" i="13"/>
  <c r="V55" i="13"/>
  <c r="W55" i="13"/>
  <c r="X55" i="13" a="1"/>
  <c r="X55" i="13"/>
  <c r="O55" i="13"/>
  <c r="Y55" i="13"/>
  <c r="Z55" i="13"/>
  <c r="AA55" i="13" a="1"/>
  <c r="AA55" i="13"/>
  <c r="P55" i="13"/>
  <c r="Q55" i="13"/>
  <c r="R55" i="13"/>
  <c r="S55" i="13"/>
  <c r="A56" i="13"/>
  <c r="T56" i="13"/>
  <c r="U56" i="13" a="1"/>
  <c r="U56" i="13"/>
  <c r="V56" i="13"/>
  <c r="W56" i="13"/>
  <c r="X56" i="13" a="1"/>
  <c r="X56" i="13"/>
  <c r="O56" i="13"/>
  <c r="Y56" i="13"/>
  <c r="Z56" i="13"/>
  <c r="AA56" i="13" a="1"/>
  <c r="AA56" i="13"/>
  <c r="P56" i="13"/>
  <c r="Q56" i="13"/>
  <c r="R56" i="13"/>
  <c r="S56" i="13"/>
  <c r="A57" i="13"/>
  <c r="T57" i="13"/>
  <c r="U57" i="13" a="1"/>
  <c r="U57" i="13"/>
  <c r="V57" i="13"/>
  <c r="W57" i="13"/>
  <c r="X57" i="13" a="1"/>
  <c r="X57" i="13"/>
  <c r="O57" i="13"/>
  <c r="Y57" i="13"/>
  <c r="Z57" i="13"/>
  <c r="AA57" i="13" a="1"/>
  <c r="AA57" i="13"/>
  <c r="P57" i="13"/>
  <c r="Q57" i="13"/>
  <c r="R57" i="13"/>
  <c r="S57" i="13"/>
  <c r="A58" i="13"/>
  <c r="T58" i="13"/>
  <c r="U58" i="13" a="1"/>
  <c r="U58" i="13"/>
  <c r="V58" i="13"/>
  <c r="W58" i="13"/>
  <c r="X58" i="13" a="1"/>
  <c r="X58" i="13"/>
  <c r="O58" i="13"/>
  <c r="Y58" i="13"/>
  <c r="Z58" i="13"/>
  <c r="AA58" i="13" a="1"/>
  <c r="AA58" i="13"/>
  <c r="P58" i="13"/>
  <c r="Q58" i="13"/>
  <c r="R58" i="13"/>
  <c r="S58" i="13"/>
  <c r="A59" i="13"/>
  <c r="T59" i="13"/>
  <c r="U59" i="13" a="1"/>
  <c r="U59" i="13"/>
  <c r="V59" i="13"/>
  <c r="W59" i="13"/>
  <c r="X59" i="13" a="1"/>
  <c r="X59" i="13"/>
  <c r="O59" i="13"/>
  <c r="Y59" i="13"/>
  <c r="Z59" i="13"/>
  <c r="AA59" i="13" a="1"/>
  <c r="AA59" i="13"/>
  <c r="P59" i="13"/>
  <c r="Q59" i="13"/>
  <c r="R59" i="13"/>
  <c r="S59" i="13"/>
  <c r="A60" i="13"/>
  <c r="T60" i="13"/>
  <c r="U60" i="13" a="1"/>
  <c r="U60" i="13"/>
  <c r="V60" i="13"/>
  <c r="W60" i="13"/>
  <c r="X60" i="13" a="1"/>
  <c r="X60" i="13"/>
  <c r="O60" i="13"/>
  <c r="Y60" i="13"/>
  <c r="Z60" i="13"/>
  <c r="AA60" i="13" a="1"/>
  <c r="AA60" i="13"/>
  <c r="P60" i="13"/>
  <c r="Q60" i="13"/>
  <c r="R60" i="13"/>
  <c r="S60" i="13"/>
  <c r="A61" i="13"/>
  <c r="T61" i="13"/>
  <c r="U61" i="13" a="1"/>
  <c r="U61" i="13"/>
  <c r="V61" i="13"/>
  <c r="W61" i="13"/>
  <c r="X61" i="13" a="1"/>
  <c r="X61" i="13"/>
  <c r="O61" i="13"/>
  <c r="Y61" i="13"/>
  <c r="Z61" i="13"/>
  <c r="AA61" i="13" a="1"/>
  <c r="AA61" i="13"/>
  <c r="P61" i="13"/>
  <c r="Q61" i="13"/>
  <c r="R61" i="13"/>
  <c r="S61" i="13"/>
  <c r="A62" i="13"/>
  <c r="T62" i="13"/>
  <c r="U62" i="13" a="1"/>
  <c r="U62" i="13"/>
  <c r="V62" i="13"/>
  <c r="W62" i="13"/>
  <c r="X62" i="13" a="1"/>
  <c r="X62" i="13"/>
  <c r="O62" i="13"/>
  <c r="Y62" i="13"/>
  <c r="Z62" i="13"/>
  <c r="AA62" i="13" a="1"/>
  <c r="AA62" i="13"/>
  <c r="P62" i="13"/>
  <c r="Q62" i="13"/>
  <c r="R62" i="13"/>
  <c r="S62" i="13"/>
  <c r="A63" i="13"/>
  <c r="T63" i="13"/>
  <c r="U63" i="13" a="1"/>
  <c r="U63" i="13"/>
  <c r="V63" i="13"/>
  <c r="W63" i="13"/>
  <c r="X63" i="13" a="1"/>
  <c r="X63" i="13"/>
  <c r="O63" i="13"/>
  <c r="Y63" i="13"/>
  <c r="Z63" i="13"/>
  <c r="AA63" i="13" a="1"/>
  <c r="AA63" i="13"/>
  <c r="P63" i="13"/>
  <c r="Q63" i="13"/>
  <c r="R63" i="13"/>
  <c r="S63" i="13"/>
  <c r="A64" i="13"/>
  <c r="T64" i="13"/>
  <c r="U64" i="13" a="1"/>
  <c r="U64" i="13"/>
  <c r="V64" i="13"/>
  <c r="W64" i="13"/>
  <c r="X64" i="13" a="1"/>
  <c r="X64" i="13"/>
  <c r="O64" i="13"/>
  <c r="Y64" i="13"/>
  <c r="Z64" i="13"/>
  <c r="AA64" i="13" a="1"/>
  <c r="AA64" i="13"/>
  <c r="P64" i="13"/>
  <c r="Q64" i="13"/>
  <c r="R64" i="13"/>
  <c r="S64" i="13"/>
  <c r="A65" i="13"/>
  <c r="T65" i="13"/>
  <c r="U65" i="13" a="1"/>
  <c r="U65" i="13"/>
  <c r="V65" i="13"/>
  <c r="W65" i="13"/>
  <c r="X65" i="13" a="1"/>
  <c r="X65" i="13"/>
  <c r="O65" i="13"/>
  <c r="Y65" i="13"/>
  <c r="Z65" i="13"/>
  <c r="AA65" i="13" a="1"/>
  <c r="AA65" i="13"/>
  <c r="P65" i="13"/>
  <c r="Q65" i="13"/>
  <c r="R65" i="13"/>
  <c r="S65" i="13"/>
  <c r="T66" i="13"/>
  <c r="V66" i="13"/>
  <c r="X66" i="13" a="1"/>
  <c r="X66" i="13"/>
  <c r="O66" i="13"/>
  <c r="Y66" i="13"/>
  <c r="Z66" i="13"/>
  <c r="AA66" i="13" a="1"/>
  <c r="AA66" i="13"/>
  <c r="P66" i="13"/>
  <c r="Q66" i="13"/>
  <c r="R66" i="13"/>
  <c r="S66" i="13"/>
  <c r="T67" i="13"/>
  <c r="U67" i="13" a="1"/>
  <c r="U67" i="13"/>
  <c r="V67" i="13"/>
  <c r="W67" i="13"/>
  <c r="X67" i="13" a="1"/>
  <c r="X67" i="13"/>
  <c r="O67" i="13"/>
  <c r="Y67" i="13"/>
  <c r="Z67" i="13"/>
  <c r="AA67" i="13" a="1"/>
  <c r="AA67" i="13"/>
  <c r="P67" i="13"/>
  <c r="Q67" i="13"/>
  <c r="R67" i="13"/>
  <c r="S67" i="13"/>
  <c r="T68" i="13"/>
  <c r="U68" i="13" a="1"/>
  <c r="U68" i="13"/>
  <c r="V68" i="13"/>
  <c r="W68" i="13"/>
  <c r="X68" i="13" a="1"/>
  <c r="X68" i="13"/>
  <c r="O68" i="13"/>
  <c r="Y68" i="13"/>
  <c r="Z68" i="13"/>
  <c r="AA68" i="13" a="1"/>
  <c r="AA68" i="13"/>
  <c r="P68" i="13"/>
  <c r="Q68" i="13"/>
  <c r="R68" i="13"/>
  <c r="S68" i="13"/>
  <c r="D33" i="12"/>
  <c r="A255" i="6"/>
  <c r="O254" i="6"/>
  <c r="U254" i="6"/>
  <c r="P254" i="6"/>
  <c r="Q254" i="6"/>
  <c r="R254" i="6"/>
  <c r="S254" i="6"/>
  <c r="L254" i="6"/>
  <c r="L252" i="6"/>
  <c r="O252" i="6"/>
  <c r="U252" i="6"/>
  <c r="P252" i="6"/>
  <c r="Q252" i="6"/>
  <c r="R252" i="6"/>
  <c r="S252" i="6"/>
  <c r="A252" i="6"/>
  <c r="AB59" i="6"/>
  <c r="L59" i="6"/>
  <c r="AF59" i="6"/>
  <c r="AF58" i="6"/>
  <c r="O247" i="6"/>
  <c r="P247" i="6"/>
  <c r="Q247" i="6"/>
  <c r="R247" i="6"/>
  <c r="S247" i="6"/>
  <c r="U247" i="6"/>
  <c r="U248" i="6"/>
  <c r="U249" i="6"/>
  <c r="U250" i="6"/>
  <c r="L247" i="6"/>
  <c r="D32" i="12"/>
  <c r="O246" i="6"/>
  <c r="P246" i="6"/>
  <c r="Q246" i="6"/>
  <c r="R246" i="6"/>
  <c r="S246" i="6"/>
  <c r="U246" i="6"/>
  <c r="L246" i="6"/>
  <c r="AB57" i="6"/>
  <c r="L57" i="6"/>
  <c r="AF57" i="6"/>
  <c r="O245" i="6"/>
  <c r="P245" i="6"/>
  <c r="Q245" i="6"/>
  <c r="R245" i="6"/>
  <c r="S245" i="6"/>
  <c r="U245" i="6"/>
  <c r="L245" i="6"/>
  <c r="O244" i="6"/>
  <c r="P244" i="6"/>
  <c r="Q244" i="6"/>
  <c r="R244" i="6"/>
  <c r="S244" i="6"/>
  <c r="U244" i="6"/>
  <c r="L244" i="6"/>
  <c r="P243" i="6"/>
  <c r="Q243" i="6"/>
  <c r="O243" i="6"/>
  <c r="R243" i="6"/>
  <c r="S243" i="6"/>
  <c r="U243" i="6"/>
  <c r="L243" i="6"/>
  <c r="O242" i="6"/>
  <c r="U242" i="6"/>
  <c r="P242" i="6"/>
  <c r="Q242" i="6"/>
  <c r="R242" i="6"/>
  <c r="S242" i="6"/>
  <c r="L242" i="6"/>
  <c r="D31" i="12"/>
  <c r="AF56" i="6"/>
  <c r="AB56" i="6"/>
  <c r="L56" i="6"/>
  <c r="D30" i="12"/>
  <c r="L64" i="13"/>
  <c r="A56" i="6"/>
  <c r="O241" i="6"/>
  <c r="U241" i="6"/>
  <c r="P241" i="6"/>
  <c r="Q241" i="6"/>
  <c r="R241" i="6"/>
  <c r="S241" i="6"/>
  <c r="L241" i="6"/>
  <c r="A241" i="6"/>
  <c r="A240" i="6"/>
  <c r="A239" i="6"/>
  <c r="A49" i="6"/>
  <c r="A50" i="6"/>
  <c r="A51" i="6"/>
  <c r="A52" i="6"/>
  <c r="A53" i="6"/>
  <c r="A54" i="6"/>
  <c r="A55" i="6"/>
  <c r="L63" i="13"/>
  <c r="L62" i="13"/>
  <c r="L61" i="13"/>
  <c r="P240" i="6"/>
  <c r="Q240" i="6"/>
  <c r="O240" i="6"/>
  <c r="R240" i="6"/>
  <c r="S240" i="6"/>
  <c r="U240" i="6"/>
  <c r="L240" i="6"/>
  <c r="P239" i="6"/>
  <c r="O239" i="6"/>
  <c r="U239" i="6"/>
  <c r="Q239" i="6"/>
  <c r="R239" i="6"/>
  <c r="S239" i="6"/>
  <c r="L239" i="6"/>
  <c r="P238" i="6"/>
  <c r="Q238" i="6"/>
  <c r="O238" i="6"/>
  <c r="R238" i="6"/>
  <c r="S238" i="6"/>
  <c r="U238" i="6"/>
  <c r="L238" i="6"/>
  <c r="L60" i="13"/>
  <c r="L59" i="13"/>
  <c r="L58" i="13"/>
  <c r="L57" i="13"/>
  <c r="AB55" i="6"/>
  <c r="L55" i="6"/>
  <c r="AF55" i="6"/>
  <c r="O237" i="6"/>
  <c r="U237" i="6"/>
  <c r="P237" i="6"/>
  <c r="Q237" i="6"/>
  <c r="R237" i="6"/>
  <c r="S237" i="6"/>
  <c r="L237" i="6"/>
  <c r="P236" i="6"/>
  <c r="Q236" i="6"/>
  <c r="O236" i="6"/>
  <c r="R236" i="6"/>
  <c r="S236" i="6"/>
  <c r="L236" i="6"/>
  <c r="U236" i="6"/>
  <c r="O235" i="6"/>
  <c r="U235" i="6"/>
  <c r="P235" i="6"/>
  <c r="Q235" i="6"/>
  <c r="R235" i="6"/>
  <c r="S235" i="6"/>
  <c r="L235" i="6"/>
  <c r="O233" i="6"/>
  <c r="U233" i="6"/>
  <c r="P233" i="6"/>
  <c r="Q233" i="6"/>
  <c r="R233" i="6"/>
  <c r="S233" i="6"/>
  <c r="L233" i="6"/>
  <c r="A3" i="13"/>
  <c r="T3" i="13"/>
  <c r="A2" i="13"/>
  <c r="T2" i="13"/>
  <c r="A20" i="13"/>
  <c r="V2" i="13"/>
  <c r="U2" i="13" a="1"/>
  <c r="U2" i="13"/>
  <c r="A40" i="13"/>
  <c r="U3" i="13" a="1"/>
  <c r="U3" i="13"/>
  <c r="Y3" i="13"/>
  <c r="Z3" i="13"/>
  <c r="AA3" i="13" a="1"/>
  <c r="AA3" i="13"/>
  <c r="P3" i="13"/>
  <c r="Q3" i="13"/>
  <c r="V3" i="13"/>
  <c r="W3" i="13"/>
  <c r="X3" i="13" a="1"/>
  <c r="X3" i="13"/>
  <c r="O3" i="13"/>
  <c r="R3" i="13"/>
  <c r="S3" i="13"/>
  <c r="A6" i="13"/>
  <c r="L56" i="13"/>
  <c r="L55" i="13"/>
  <c r="L54" i="13"/>
  <c r="L53" i="13"/>
  <c r="L52" i="13"/>
  <c r="L51" i="13"/>
  <c r="D29" i="12"/>
  <c r="AB54" i="6"/>
  <c r="L54" i="6"/>
  <c r="AF54" i="6"/>
  <c r="P232" i="6"/>
  <c r="Q232" i="6"/>
  <c r="O232" i="6"/>
  <c r="R232" i="6"/>
  <c r="S232" i="6"/>
  <c r="U232" i="6"/>
  <c r="L232" i="6"/>
  <c r="A48" i="13"/>
  <c r="D16" i="12"/>
  <c r="D24" i="12"/>
  <c r="D28" i="12"/>
  <c r="D26" i="12"/>
  <c r="D2" i="12"/>
  <c r="D3" i="12"/>
  <c r="D4" i="12"/>
  <c r="D5" i="12"/>
  <c r="D6" i="12"/>
  <c r="D7" i="12"/>
  <c r="D8" i="12"/>
  <c r="D9" i="12"/>
  <c r="D10" i="12"/>
  <c r="D11" i="12"/>
  <c r="D12" i="12"/>
  <c r="D13" i="12"/>
  <c r="D14" i="12"/>
  <c r="D15" i="12"/>
  <c r="D17" i="12"/>
  <c r="D18" i="12"/>
  <c r="D19" i="12"/>
  <c r="D20" i="12"/>
  <c r="D21" i="12"/>
  <c r="D22" i="12"/>
  <c r="D23" i="12"/>
  <c r="D25" i="12"/>
  <c r="D27" i="12"/>
  <c r="T48" i="13"/>
  <c r="U48" i="13" a="1"/>
  <c r="U48" i="13"/>
  <c r="T49" i="13"/>
  <c r="U49" i="13" a="1"/>
  <c r="U49" i="13"/>
  <c r="T50" i="13"/>
  <c r="U50" i="13" a="1"/>
  <c r="U50" i="13"/>
  <c r="A47" i="13"/>
  <c r="T47" i="13"/>
  <c r="A31" i="13"/>
  <c r="A36" i="13"/>
  <c r="T31" i="13"/>
  <c r="U31" i="13" a="1"/>
  <c r="U31" i="13"/>
  <c r="V31" i="13"/>
  <c r="W31" i="13"/>
  <c r="X31" i="13" a="1"/>
  <c r="X31" i="13"/>
  <c r="Y31" i="13"/>
  <c r="Z31" i="13"/>
  <c r="AA31" i="13" a="1"/>
  <c r="AA31" i="13"/>
  <c r="A46" i="13"/>
  <c r="A45" i="13"/>
  <c r="O231" i="6"/>
  <c r="U231" i="6"/>
  <c r="O230" i="6"/>
  <c r="P230" i="6"/>
  <c r="Q230" i="6"/>
  <c r="R230" i="6"/>
  <c r="S230" i="6"/>
  <c r="P231" i="6"/>
  <c r="Q231" i="6"/>
  <c r="R231" i="6"/>
  <c r="S231" i="6"/>
  <c r="L231" i="6"/>
  <c r="U230" i="6"/>
  <c r="L230" i="6"/>
  <c r="O229" i="6"/>
  <c r="P229" i="6"/>
  <c r="Q229" i="6"/>
  <c r="R229" i="6"/>
  <c r="S229" i="6"/>
  <c r="U229" i="6"/>
  <c r="L229" i="6"/>
  <c r="AF53" i="6"/>
  <c r="AB53" i="6"/>
  <c r="L53" i="6"/>
  <c r="U47" i="13" a="1"/>
  <c r="U47" i="13"/>
  <c r="V47" i="13"/>
  <c r="W47" i="13"/>
  <c r="X47" i="13" a="1"/>
  <c r="X47" i="13"/>
  <c r="T45" i="13"/>
  <c r="U45" i="13" a="1"/>
  <c r="U45" i="13"/>
  <c r="V45" i="13"/>
  <c r="W45" i="13"/>
  <c r="X45" i="13" a="1"/>
  <c r="X45" i="13"/>
  <c r="O47" i="13"/>
  <c r="Y47" i="13"/>
  <c r="Z47" i="13"/>
  <c r="AA47" i="13" a="1"/>
  <c r="AA47" i="13"/>
  <c r="Y45" i="13"/>
  <c r="Z45" i="13"/>
  <c r="AA45" i="13" a="1"/>
  <c r="AA45" i="13"/>
  <c r="P47" i="13"/>
  <c r="Q47" i="13"/>
  <c r="R47" i="13"/>
  <c r="S47" i="13"/>
  <c r="V48" i="13"/>
  <c r="W48" i="13"/>
  <c r="X48" i="13" a="1"/>
  <c r="X48" i="13"/>
  <c r="O48" i="13"/>
  <c r="Y48" i="13"/>
  <c r="Z48" i="13"/>
  <c r="AA48" i="13" a="1"/>
  <c r="AA48" i="13"/>
  <c r="P48" i="13"/>
  <c r="Q48" i="13"/>
  <c r="R48" i="13"/>
  <c r="S48" i="13"/>
  <c r="L48" i="13"/>
  <c r="L47" i="13"/>
  <c r="O228" i="6"/>
  <c r="U228" i="6"/>
  <c r="A11" i="13"/>
  <c r="A15" i="13"/>
  <c r="T11" i="13"/>
  <c r="U11" i="13" a="1"/>
  <c r="U11" i="13"/>
  <c r="V11" i="13"/>
  <c r="W11" i="13"/>
  <c r="X11" i="13" a="1"/>
  <c r="X11" i="13"/>
  <c r="Y11" i="13"/>
  <c r="Z11" i="13"/>
  <c r="AA11" i="13" a="1"/>
  <c r="AA11" i="13"/>
  <c r="P228" i="6"/>
  <c r="Q228" i="6"/>
  <c r="R228" i="6"/>
  <c r="S228" i="6"/>
  <c r="L228" i="6"/>
  <c r="V50" i="13"/>
  <c r="W50" i="13"/>
  <c r="X50" i="13" a="1"/>
  <c r="X50" i="13"/>
  <c r="O50" i="13"/>
  <c r="Y50" i="13"/>
  <c r="Z50" i="13"/>
  <c r="AA50" i="13" a="1"/>
  <c r="AA50" i="13"/>
  <c r="P50" i="13"/>
  <c r="Q50" i="13"/>
  <c r="R50" i="13"/>
  <c r="S50" i="13"/>
  <c r="L50" i="13"/>
  <c r="O227" i="6"/>
  <c r="U227" i="6"/>
  <c r="P227" i="6"/>
  <c r="Q227" i="6"/>
  <c r="R227" i="6"/>
  <c r="S227" i="6"/>
  <c r="L227" i="6"/>
  <c r="O225" i="6"/>
  <c r="U225" i="6"/>
  <c r="P225" i="6"/>
  <c r="Q225" i="6"/>
  <c r="R225" i="6"/>
  <c r="S225" i="6"/>
  <c r="L225" i="6"/>
  <c r="V49" i="13"/>
  <c r="W49" i="13"/>
  <c r="X49" i="13" a="1"/>
  <c r="X49" i="13"/>
  <c r="A8" i="13"/>
  <c r="A4" i="13"/>
  <c r="T8" i="13"/>
  <c r="U8" i="13" a="1"/>
  <c r="U8" i="13"/>
  <c r="V8" i="13"/>
  <c r="W8" i="13"/>
  <c r="X8" i="13" a="1"/>
  <c r="X8" i="13"/>
  <c r="O49" i="13"/>
  <c r="Y49" i="13"/>
  <c r="Z49" i="13"/>
  <c r="AA49" i="13" a="1"/>
  <c r="AA49" i="13"/>
  <c r="Y8" i="13"/>
  <c r="Z8" i="13"/>
  <c r="AA8" i="13" a="1"/>
  <c r="AA8" i="13"/>
  <c r="P49" i="13"/>
  <c r="Q49" i="13"/>
  <c r="R49" i="13"/>
  <c r="S49" i="13"/>
  <c r="T46" i="13"/>
  <c r="U46" i="13" a="1"/>
  <c r="U46" i="13"/>
  <c r="V46" i="13"/>
  <c r="W46" i="13"/>
  <c r="X46" i="13" a="1"/>
  <c r="X46" i="13"/>
  <c r="O46" i="13"/>
  <c r="L49" i="13"/>
  <c r="AB52" i="6"/>
  <c r="L52" i="6"/>
  <c r="P221" i="6"/>
  <c r="Q221" i="6"/>
  <c r="O221" i="6"/>
  <c r="R221" i="6"/>
  <c r="S221" i="6"/>
  <c r="AF52" i="6"/>
  <c r="AF51" i="6"/>
  <c r="U221" i="6"/>
  <c r="L221" i="6"/>
  <c r="A221" i="6"/>
  <c r="O220" i="6"/>
  <c r="U220" i="6"/>
  <c r="P220" i="6"/>
  <c r="Q220" i="6"/>
  <c r="R220" i="6"/>
  <c r="S220" i="6"/>
  <c r="L220" i="6"/>
  <c r="A220" i="6"/>
  <c r="O219" i="6"/>
  <c r="U219" i="6"/>
  <c r="P219" i="6"/>
  <c r="Q219" i="6"/>
  <c r="R219" i="6"/>
  <c r="S219" i="6"/>
  <c r="L219" i="6"/>
  <c r="A43" i="13"/>
  <c r="T43" i="13"/>
  <c r="U43" i="13" a="1"/>
  <c r="U43" i="13"/>
  <c r="V43" i="13"/>
  <c r="W43" i="13"/>
  <c r="X43" i="13" a="1"/>
  <c r="X43" i="13"/>
  <c r="T40" i="13"/>
  <c r="U40" i="13" a="1"/>
  <c r="U40" i="13"/>
  <c r="V40" i="13"/>
  <c r="W40" i="13"/>
  <c r="X40" i="13" a="1"/>
  <c r="X40" i="13"/>
  <c r="O43" i="13"/>
  <c r="Y43" i="13"/>
  <c r="Z43" i="13"/>
  <c r="AA43" i="13" a="1"/>
  <c r="AA43" i="13"/>
  <c r="Y40" i="13"/>
  <c r="Z40" i="13"/>
  <c r="AA40" i="13" a="1"/>
  <c r="AA40" i="13"/>
  <c r="P43" i="13"/>
  <c r="Q43" i="13"/>
  <c r="R43" i="13"/>
  <c r="S43" i="13"/>
  <c r="A44" i="13"/>
  <c r="T44" i="13"/>
  <c r="U44" i="13" a="1"/>
  <c r="U44" i="13"/>
  <c r="V44" i="13"/>
  <c r="W44" i="13"/>
  <c r="X44" i="13" a="1"/>
  <c r="X44" i="13"/>
  <c r="O44" i="13"/>
  <c r="Y44" i="13"/>
  <c r="Z44" i="13"/>
  <c r="AA44" i="13" a="1"/>
  <c r="AA44" i="13"/>
  <c r="P44" i="13"/>
  <c r="Q44" i="13"/>
  <c r="R44" i="13"/>
  <c r="S44" i="13"/>
  <c r="A41" i="13"/>
  <c r="T41" i="13"/>
  <c r="U41" i="13" a="1"/>
  <c r="U41" i="13"/>
  <c r="V41" i="13"/>
  <c r="W41" i="13"/>
  <c r="X41" i="13" a="1"/>
  <c r="X41" i="13"/>
  <c r="O45" i="13"/>
  <c r="Y41" i="13"/>
  <c r="Z41" i="13"/>
  <c r="AA41" i="13" a="1"/>
  <c r="AA41" i="13"/>
  <c r="P45" i="13"/>
  <c r="Q45" i="13"/>
  <c r="R45" i="13"/>
  <c r="S45" i="13"/>
  <c r="Y46" i="13"/>
  <c r="Z46" i="13"/>
  <c r="AA46" i="13" a="1"/>
  <c r="AA46" i="13"/>
  <c r="P46" i="13"/>
  <c r="Q46" i="13"/>
  <c r="R46" i="13"/>
  <c r="S46" i="13"/>
  <c r="L46" i="13"/>
  <c r="L45" i="13"/>
  <c r="L44" i="13"/>
  <c r="L43" i="13"/>
  <c r="A5" i="13"/>
  <c r="T6" i="13"/>
  <c r="Y6" i="13"/>
  <c r="U6" i="13" a="1"/>
  <c r="U6" i="13"/>
  <c r="Z6" i="13"/>
  <c r="A9" i="13"/>
  <c r="T9" i="13"/>
  <c r="Y9" i="13"/>
  <c r="U9" i="13" a="1"/>
  <c r="U9" i="13"/>
  <c r="Z9" i="13"/>
  <c r="A7" i="13"/>
  <c r="T7" i="13"/>
  <c r="Y7" i="13"/>
  <c r="U7" i="13" a="1"/>
  <c r="U7" i="13"/>
  <c r="Z7" i="13"/>
  <c r="T4" i="13"/>
  <c r="Y4" i="13"/>
  <c r="U4" i="13" a="1"/>
  <c r="U4" i="13"/>
  <c r="Z4" i="13"/>
  <c r="T5" i="13"/>
  <c r="Y5" i="13"/>
  <c r="U5" i="13" a="1"/>
  <c r="U5" i="13"/>
  <c r="Z5" i="13"/>
  <c r="A10" i="13"/>
  <c r="T10" i="13"/>
  <c r="Y10" i="13"/>
  <c r="U10" i="13" a="1"/>
  <c r="U10" i="13"/>
  <c r="Z10" i="13"/>
  <c r="A18" i="13"/>
  <c r="T18" i="13"/>
  <c r="Y18" i="13"/>
  <c r="U18" i="13" a="1"/>
  <c r="U18" i="13"/>
  <c r="Z18" i="13"/>
  <c r="A12" i="13"/>
  <c r="T15" i="13"/>
  <c r="Y15" i="13"/>
  <c r="U15" i="13" a="1"/>
  <c r="U15" i="13"/>
  <c r="Z15" i="13"/>
  <c r="A13" i="13"/>
  <c r="T12" i="13"/>
  <c r="Y12" i="13"/>
  <c r="U12" i="13" a="1"/>
  <c r="U12" i="13"/>
  <c r="Z12" i="13"/>
  <c r="A14" i="13"/>
  <c r="T13" i="13"/>
  <c r="Y13" i="13"/>
  <c r="U13" i="13" a="1"/>
  <c r="U13" i="13"/>
  <c r="Z13" i="13"/>
  <c r="A16" i="13"/>
  <c r="T16" i="13"/>
  <c r="Y16" i="13"/>
  <c r="U16" i="13" a="1"/>
  <c r="U16" i="13"/>
  <c r="Z16" i="13"/>
  <c r="A17" i="13"/>
  <c r="T17" i="13"/>
  <c r="Y17" i="13"/>
  <c r="U17" i="13" a="1"/>
  <c r="U17" i="13"/>
  <c r="Z17" i="13"/>
  <c r="A19" i="13"/>
  <c r="T19" i="13"/>
  <c r="Y19" i="13"/>
  <c r="U19" i="13" a="1"/>
  <c r="U19" i="13"/>
  <c r="Z19" i="13"/>
  <c r="A21" i="13"/>
  <c r="T14" i="13"/>
  <c r="Y14" i="13"/>
  <c r="U14" i="13" a="1"/>
  <c r="U14" i="13"/>
  <c r="Z14" i="13"/>
  <c r="A39" i="13"/>
  <c r="T25" i="13"/>
  <c r="Y25" i="13"/>
  <c r="U25" i="13" a="1"/>
  <c r="U25" i="13"/>
  <c r="Z25" i="13"/>
  <c r="T21" i="13"/>
  <c r="Y21" i="13"/>
  <c r="U21" i="13" a="1"/>
  <c r="U21" i="13"/>
  <c r="Z21" i="13"/>
  <c r="A28" i="13"/>
  <c r="T28" i="13"/>
  <c r="Y28" i="13"/>
  <c r="U28" i="13" a="1"/>
  <c r="U28" i="13"/>
  <c r="Z28" i="13"/>
  <c r="Y29" i="13"/>
  <c r="Z29" i="13"/>
  <c r="Y26" i="13"/>
  <c r="Z26" i="13"/>
  <c r="A27" i="13"/>
  <c r="T27" i="13"/>
  <c r="Y27" i="13"/>
  <c r="U27" i="13" a="1"/>
  <c r="U27" i="13"/>
  <c r="Z27" i="13"/>
  <c r="T24" i="13"/>
  <c r="Y24" i="13"/>
  <c r="U24" i="13" a="1"/>
  <c r="U24" i="13"/>
  <c r="Z24" i="13"/>
  <c r="T20" i="13"/>
  <c r="Y20" i="13"/>
  <c r="U20" i="13" a="1"/>
  <c r="U20" i="13"/>
  <c r="Z20" i="13"/>
  <c r="T23" i="13"/>
  <c r="Y23" i="13"/>
  <c r="U23" i="13" a="1"/>
  <c r="U23" i="13"/>
  <c r="Z23" i="13"/>
  <c r="Y22" i="13"/>
  <c r="Z22" i="13"/>
  <c r="A37" i="13"/>
  <c r="T37" i="13"/>
  <c r="Y37" i="13"/>
  <c r="U37" i="13" a="1"/>
  <c r="U37" i="13"/>
  <c r="Z37" i="13"/>
  <c r="A35" i="13"/>
  <c r="G32" i="13"/>
  <c r="A32" i="13"/>
  <c r="T35" i="13"/>
  <c r="Y35" i="13"/>
  <c r="U35" i="13" a="1"/>
  <c r="U35" i="13"/>
  <c r="Z35" i="13"/>
  <c r="A33" i="13"/>
  <c r="T36" i="13"/>
  <c r="Y36" i="13"/>
  <c r="U36" i="13" a="1"/>
  <c r="U36" i="13"/>
  <c r="Z36" i="13"/>
  <c r="A34" i="13"/>
  <c r="T34" i="13"/>
  <c r="Y34" i="13"/>
  <c r="U34" i="13" a="1"/>
  <c r="U34" i="13"/>
  <c r="Z34" i="13"/>
  <c r="T33" i="13"/>
  <c r="Y33" i="13"/>
  <c r="U33" i="13" a="1"/>
  <c r="U33" i="13"/>
  <c r="Z33" i="13"/>
  <c r="T32" i="13"/>
  <c r="Y32" i="13"/>
  <c r="U32" i="13" a="1"/>
  <c r="U32" i="13"/>
  <c r="Z32" i="13"/>
  <c r="A38" i="13"/>
  <c r="T39" i="13"/>
  <c r="Y39" i="13"/>
  <c r="U39" i="13" a="1"/>
  <c r="U39" i="13"/>
  <c r="Z39" i="13"/>
  <c r="T38" i="13"/>
  <c r="Y38" i="13"/>
  <c r="U38" i="13" a="1"/>
  <c r="U38" i="13"/>
  <c r="Z38" i="13"/>
  <c r="A42" i="13"/>
  <c r="T42" i="13"/>
  <c r="Y42" i="13"/>
  <c r="U42" i="13" a="1"/>
  <c r="U42" i="13"/>
  <c r="Z42" i="13"/>
  <c r="V6" i="13"/>
  <c r="W6" i="13"/>
  <c r="V9" i="13"/>
  <c r="W9" i="13"/>
  <c r="V7" i="13"/>
  <c r="W7" i="13"/>
  <c r="V4" i="13"/>
  <c r="W4" i="13"/>
  <c r="V5" i="13"/>
  <c r="W5" i="13"/>
  <c r="V10" i="13"/>
  <c r="W10" i="13"/>
  <c r="V18" i="13"/>
  <c r="W18" i="13"/>
  <c r="V15" i="13"/>
  <c r="W15" i="13"/>
  <c r="V12" i="13"/>
  <c r="W12" i="13"/>
  <c r="V13" i="13"/>
  <c r="W13" i="13"/>
  <c r="V16" i="13"/>
  <c r="W16" i="13"/>
  <c r="V17" i="13"/>
  <c r="W17" i="13"/>
  <c r="V19" i="13"/>
  <c r="W19" i="13"/>
  <c r="V14" i="13"/>
  <c r="W14" i="13"/>
  <c r="V25" i="13"/>
  <c r="W25" i="13"/>
  <c r="V21" i="13"/>
  <c r="W21" i="13"/>
  <c r="V28" i="13"/>
  <c r="W28" i="13"/>
  <c r="V27" i="13"/>
  <c r="W27" i="13"/>
  <c r="V24" i="13"/>
  <c r="W24" i="13"/>
  <c r="V20" i="13"/>
  <c r="W20" i="13"/>
  <c r="V23" i="13"/>
  <c r="W23" i="13"/>
  <c r="V37" i="13"/>
  <c r="W37" i="13"/>
  <c r="V35" i="13"/>
  <c r="W35" i="13"/>
  <c r="V36" i="13"/>
  <c r="W36" i="13"/>
  <c r="V34" i="13"/>
  <c r="W34" i="13"/>
  <c r="V33" i="13"/>
  <c r="W33" i="13"/>
  <c r="V32" i="13"/>
  <c r="W32" i="13"/>
  <c r="V39" i="13"/>
  <c r="W39" i="13"/>
  <c r="V38" i="13"/>
  <c r="W38" i="13"/>
  <c r="V42" i="13"/>
  <c r="W42" i="13"/>
  <c r="Z2" i="13"/>
  <c r="Y2" i="13"/>
  <c r="W2" i="13"/>
  <c r="AC2" i="13"/>
  <c r="AB50" i="6"/>
  <c r="L50" i="6"/>
  <c r="AF50" i="6"/>
  <c r="AA42" i="13" a="1"/>
  <c r="AA42" i="13"/>
  <c r="P42" i="13"/>
  <c r="Q42" i="13"/>
  <c r="X42" i="13" a="1"/>
  <c r="X42" i="13"/>
  <c r="O42" i="13"/>
  <c r="R42" i="13"/>
  <c r="S42" i="13"/>
  <c r="L42" i="13"/>
  <c r="AA23" i="13" a="1"/>
  <c r="AA23" i="13"/>
  <c r="P41" i="13"/>
  <c r="Q41" i="13"/>
  <c r="X23" i="13" a="1"/>
  <c r="X23" i="13"/>
  <c r="O41" i="13"/>
  <c r="R41" i="13"/>
  <c r="S41" i="13"/>
  <c r="L41" i="13"/>
  <c r="P40" i="13"/>
  <c r="Q40" i="13"/>
  <c r="O40" i="13"/>
  <c r="R40" i="13"/>
  <c r="S40" i="13"/>
  <c r="L40" i="13"/>
  <c r="AA38" i="13" a="1"/>
  <c r="AA38" i="13"/>
  <c r="X38" i="13" a="1"/>
  <c r="X38" i="13"/>
  <c r="P38" i="13"/>
  <c r="Q38" i="13"/>
  <c r="O38" i="13"/>
  <c r="R38" i="13"/>
  <c r="S38" i="13"/>
  <c r="L38" i="13"/>
  <c r="AA39" i="13" a="1"/>
  <c r="AA39" i="13"/>
  <c r="X39" i="13" a="1"/>
  <c r="X39" i="13"/>
  <c r="AA21" i="13" a="1"/>
  <c r="AA21" i="13"/>
  <c r="P39" i="13"/>
  <c r="Q39" i="13"/>
  <c r="X21" i="13" a="1"/>
  <c r="X21" i="13"/>
  <c r="O39" i="13"/>
  <c r="R39" i="13"/>
  <c r="S39" i="13"/>
  <c r="L39" i="13"/>
  <c r="AA32" i="13" a="1"/>
  <c r="AA32" i="13"/>
  <c r="X32" i="13" a="1"/>
  <c r="X32" i="13"/>
  <c r="P32" i="13"/>
  <c r="Q32" i="13"/>
  <c r="O32" i="13"/>
  <c r="R32" i="13"/>
  <c r="S32" i="13"/>
  <c r="L32" i="13"/>
  <c r="P31" i="13"/>
  <c r="Q31" i="13"/>
  <c r="O31" i="13"/>
  <c r="R31" i="13"/>
  <c r="S31" i="13"/>
  <c r="L31" i="13"/>
  <c r="AA33" i="13" a="1"/>
  <c r="AA33" i="13"/>
  <c r="X33" i="13" a="1"/>
  <c r="X33" i="13"/>
  <c r="P33" i="13"/>
  <c r="Q33" i="13"/>
  <c r="O33" i="13"/>
  <c r="R33" i="13"/>
  <c r="S33" i="13"/>
  <c r="L33" i="13"/>
  <c r="AA34" i="13" a="1"/>
  <c r="AA34" i="13"/>
  <c r="X34" i="13" a="1"/>
  <c r="X34" i="13"/>
  <c r="P34" i="13"/>
  <c r="Q34" i="13"/>
  <c r="O34" i="13"/>
  <c r="R34" i="13"/>
  <c r="S34" i="13"/>
  <c r="L34" i="13"/>
  <c r="AA36" i="13" a="1"/>
  <c r="AA36" i="13"/>
  <c r="X36" i="13" a="1"/>
  <c r="X36" i="13"/>
  <c r="P36" i="13"/>
  <c r="Q36" i="13"/>
  <c r="O36" i="13"/>
  <c r="R36" i="13"/>
  <c r="S36" i="13"/>
  <c r="L36" i="13"/>
  <c r="AA35" i="13" a="1"/>
  <c r="AA35" i="13"/>
  <c r="X35" i="13" a="1"/>
  <c r="X35" i="13"/>
  <c r="P35" i="13"/>
  <c r="Q35" i="13"/>
  <c r="O35" i="13"/>
  <c r="R35" i="13"/>
  <c r="S35" i="13"/>
  <c r="L35" i="13"/>
  <c r="AA37" i="13" a="1"/>
  <c r="AA37" i="13"/>
  <c r="X37" i="13" a="1"/>
  <c r="X37" i="13"/>
  <c r="P37" i="13"/>
  <c r="Q37" i="13"/>
  <c r="O37" i="13"/>
  <c r="R37" i="13"/>
  <c r="S37" i="13"/>
  <c r="L37" i="13"/>
  <c r="AA22" i="13" a="1"/>
  <c r="AA22" i="13"/>
  <c r="P22" i="13"/>
  <c r="Q22" i="13"/>
  <c r="R22" i="13"/>
  <c r="S22" i="13"/>
  <c r="L22" i="13"/>
  <c r="P23" i="13"/>
  <c r="Q23" i="13"/>
  <c r="O23" i="13"/>
  <c r="R23" i="13"/>
  <c r="S23" i="13"/>
  <c r="L23" i="13"/>
  <c r="AA20" i="13" a="1"/>
  <c r="AA20" i="13"/>
  <c r="X20" i="13" a="1"/>
  <c r="X20" i="13"/>
  <c r="AA2" i="13" a="1"/>
  <c r="AA2" i="13"/>
  <c r="P20" i="13"/>
  <c r="Q20" i="13"/>
  <c r="X2" i="13" a="1"/>
  <c r="X2" i="13"/>
  <c r="O20" i="13"/>
  <c r="R20" i="13"/>
  <c r="S20" i="13"/>
  <c r="L20" i="13"/>
  <c r="AA24" i="13" a="1"/>
  <c r="AA24" i="13"/>
  <c r="X24" i="13" a="1"/>
  <c r="X24" i="13"/>
  <c r="AA13" i="13" a="1"/>
  <c r="AA13" i="13"/>
  <c r="P24" i="13"/>
  <c r="Q24" i="13"/>
  <c r="X13" i="13" a="1"/>
  <c r="X13" i="13"/>
  <c r="O24" i="13"/>
  <c r="R24" i="13"/>
  <c r="S24" i="13"/>
  <c r="L24" i="13"/>
  <c r="AA27" i="13" a="1"/>
  <c r="AA27" i="13"/>
  <c r="X27" i="13" a="1"/>
  <c r="X27" i="13"/>
  <c r="P27" i="13"/>
  <c r="Q27" i="13"/>
  <c r="O27" i="13"/>
  <c r="R27" i="13"/>
  <c r="S27" i="13"/>
  <c r="L27" i="13"/>
  <c r="L30" i="13"/>
  <c r="AA26" i="13" a="1"/>
  <c r="AA26" i="13"/>
  <c r="P26" i="13"/>
  <c r="Q26" i="13"/>
  <c r="R26" i="13"/>
  <c r="S26" i="13"/>
  <c r="L26" i="13"/>
  <c r="AA29" i="13" a="1"/>
  <c r="AA29" i="13"/>
  <c r="P29" i="13"/>
  <c r="Q29" i="13"/>
  <c r="R29" i="13"/>
  <c r="S29" i="13"/>
  <c r="L29" i="13"/>
  <c r="AA28" i="13" a="1"/>
  <c r="AA28" i="13"/>
  <c r="X28" i="13" a="1"/>
  <c r="X28" i="13"/>
  <c r="P28" i="13"/>
  <c r="Q28" i="13"/>
  <c r="O28" i="13"/>
  <c r="R28" i="13"/>
  <c r="S28" i="13"/>
  <c r="L28" i="13"/>
  <c r="AA19" i="13" a="1"/>
  <c r="AA19" i="13"/>
  <c r="P21" i="13"/>
  <c r="Q21" i="13"/>
  <c r="X19" i="13" a="1"/>
  <c r="X19" i="13"/>
  <c r="O21" i="13"/>
  <c r="R21" i="13"/>
  <c r="S21" i="13"/>
  <c r="L21" i="13"/>
  <c r="AA25" i="13" a="1"/>
  <c r="AA25" i="13"/>
  <c r="X25" i="13" a="1"/>
  <c r="X25" i="13"/>
  <c r="P25" i="13"/>
  <c r="Q25" i="13"/>
  <c r="O25" i="13"/>
  <c r="R25" i="13"/>
  <c r="S25" i="13"/>
  <c r="L25" i="13"/>
  <c r="AA14" i="13" a="1"/>
  <c r="AA14" i="13"/>
  <c r="X14" i="13" a="1"/>
  <c r="X14" i="13"/>
  <c r="P14" i="13"/>
  <c r="Q14" i="13"/>
  <c r="O14" i="13"/>
  <c r="R14" i="13"/>
  <c r="S14" i="13"/>
  <c r="L14" i="13"/>
  <c r="P19" i="13"/>
  <c r="Q19" i="13"/>
  <c r="O19" i="13"/>
  <c r="R19" i="13"/>
  <c r="S19" i="13"/>
  <c r="L19" i="13"/>
  <c r="AA17" i="13" a="1"/>
  <c r="AA17" i="13"/>
  <c r="X17" i="13" a="1"/>
  <c r="X17" i="13"/>
  <c r="P17" i="13"/>
  <c r="Q17" i="13"/>
  <c r="O17" i="13"/>
  <c r="R17" i="13"/>
  <c r="S17" i="13"/>
  <c r="L17" i="13"/>
  <c r="AA16" i="13" a="1"/>
  <c r="AA16" i="13"/>
  <c r="X16" i="13" a="1"/>
  <c r="X16" i="13"/>
  <c r="P16" i="13"/>
  <c r="Q16" i="13"/>
  <c r="O16" i="13"/>
  <c r="R16" i="13"/>
  <c r="S16" i="13"/>
  <c r="L16" i="13"/>
  <c r="P11" i="13"/>
  <c r="Q11" i="13"/>
  <c r="O11" i="13"/>
  <c r="R11" i="13"/>
  <c r="S11" i="13"/>
  <c r="L11" i="13"/>
  <c r="P13" i="13"/>
  <c r="Q13" i="13"/>
  <c r="O13" i="13"/>
  <c r="R13" i="13"/>
  <c r="S13" i="13"/>
  <c r="L13" i="13"/>
  <c r="AA12" i="13" a="1"/>
  <c r="AA12" i="13"/>
  <c r="X12" i="13" a="1"/>
  <c r="X12" i="13"/>
  <c r="P12" i="13"/>
  <c r="Q12" i="13"/>
  <c r="O12" i="13"/>
  <c r="R12" i="13"/>
  <c r="S12" i="13"/>
  <c r="L12" i="13"/>
  <c r="AA15" i="13" a="1"/>
  <c r="AA15" i="13"/>
  <c r="X15" i="13" a="1"/>
  <c r="X15" i="13"/>
  <c r="P15" i="13"/>
  <c r="Q15" i="13"/>
  <c r="O15" i="13"/>
  <c r="R15" i="13"/>
  <c r="S15" i="13"/>
  <c r="L15" i="13"/>
  <c r="AA18" i="13" a="1"/>
  <c r="AA18" i="13"/>
  <c r="X18" i="13" a="1"/>
  <c r="X18" i="13"/>
  <c r="P18" i="13"/>
  <c r="Q18" i="13"/>
  <c r="O18" i="13"/>
  <c r="R18" i="13"/>
  <c r="S18" i="13"/>
  <c r="L18" i="13"/>
  <c r="AA10" i="13" a="1"/>
  <c r="AA10" i="13"/>
  <c r="X10" i="13" a="1"/>
  <c r="X10" i="13"/>
  <c r="P10" i="13"/>
  <c r="Q10" i="13"/>
  <c r="O10" i="13"/>
  <c r="R10" i="13"/>
  <c r="S10" i="13"/>
  <c r="L10" i="13"/>
  <c r="AA5" i="13" a="1"/>
  <c r="AA5" i="13"/>
  <c r="X5" i="13" a="1"/>
  <c r="X5" i="13"/>
  <c r="P5" i="13"/>
  <c r="Q5" i="13"/>
  <c r="O5" i="13"/>
  <c r="R5" i="13"/>
  <c r="S5" i="13"/>
  <c r="L5" i="13"/>
  <c r="AA4" i="13" a="1"/>
  <c r="AA4" i="13"/>
  <c r="X4" i="13" a="1"/>
  <c r="X4" i="13"/>
  <c r="P4" i="13"/>
  <c r="Q4" i="13"/>
  <c r="O4" i="13"/>
  <c r="R4" i="13"/>
  <c r="S4" i="13"/>
  <c r="L4" i="13"/>
  <c r="AA7" i="13" a="1"/>
  <c r="AA7" i="13"/>
  <c r="X7" i="13" a="1"/>
  <c r="X7" i="13"/>
  <c r="P7" i="13"/>
  <c r="Q7" i="13"/>
  <c r="O7" i="13"/>
  <c r="R7" i="13"/>
  <c r="S7" i="13"/>
  <c r="L7" i="13"/>
  <c r="AA9" i="13" a="1"/>
  <c r="AA9" i="13"/>
  <c r="X9" i="13" a="1"/>
  <c r="X9" i="13"/>
  <c r="P9" i="13"/>
  <c r="Q9" i="13"/>
  <c r="O9" i="13"/>
  <c r="R9" i="13"/>
  <c r="S9" i="13"/>
  <c r="L9" i="13"/>
  <c r="AA6" i="13" a="1"/>
  <c r="AA6" i="13"/>
  <c r="X6" i="13" a="1"/>
  <c r="X6" i="13"/>
  <c r="P6" i="13"/>
  <c r="Q6" i="13"/>
  <c r="O6" i="13"/>
  <c r="R6" i="13"/>
  <c r="S6" i="13"/>
  <c r="L6" i="13"/>
  <c r="P8" i="13"/>
  <c r="Q8" i="13"/>
  <c r="O8" i="13"/>
  <c r="R8" i="13"/>
  <c r="S8" i="13"/>
  <c r="L8" i="13"/>
  <c r="L3" i="13"/>
  <c r="P2" i="13"/>
  <c r="Q2" i="13"/>
  <c r="O2" i="13"/>
  <c r="R2" i="13"/>
  <c r="S2" i="13"/>
  <c r="L2" i="13"/>
  <c r="O216" i="6"/>
  <c r="U216" i="6"/>
  <c r="P216" i="6"/>
  <c r="Q216" i="6"/>
  <c r="R216" i="6"/>
  <c r="S216" i="6"/>
  <c r="L216" i="6"/>
  <c r="P215" i="6"/>
  <c r="Q215" i="6"/>
  <c r="O215" i="6"/>
  <c r="R215" i="6"/>
  <c r="S215" i="6"/>
  <c r="U215" i="6"/>
  <c r="L215" i="6"/>
  <c r="A216" i="6"/>
  <c r="A215" i="6"/>
  <c r="O214" i="6"/>
  <c r="U214" i="6"/>
  <c r="P214" i="6"/>
  <c r="Q214" i="6"/>
  <c r="R214" i="6"/>
  <c r="S214" i="6"/>
  <c r="L214" i="6"/>
  <c r="O213" i="6"/>
  <c r="U213" i="6"/>
  <c r="P213" i="6"/>
  <c r="Q213" i="6"/>
  <c r="R213" i="6"/>
  <c r="S213" i="6"/>
  <c r="L213" i="6"/>
  <c r="A213" i="6"/>
  <c r="AB49" i="6"/>
  <c r="L49" i="6"/>
  <c r="A204" i="6"/>
  <c r="AF49" i="6"/>
  <c r="O212" i="6"/>
  <c r="P212" i="6"/>
  <c r="Q212" i="6"/>
  <c r="R212" i="6"/>
  <c r="S212" i="6"/>
  <c r="U212" i="6"/>
  <c r="L212" i="6"/>
  <c r="O211" i="6"/>
  <c r="P211" i="6"/>
  <c r="Q211" i="6"/>
  <c r="R211" i="6"/>
  <c r="S211" i="6"/>
  <c r="U211" i="6"/>
  <c r="L211" i="6"/>
  <c r="O210" i="6"/>
  <c r="P210" i="6"/>
  <c r="Q210" i="6"/>
  <c r="R210" i="6"/>
  <c r="S210" i="6"/>
  <c r="U210" i="6"/>
  <c r="L210" i="6"/>
  <c r="AF48" i="6"/>
  <c r="AB48" i="6"/>
  <c r="L48" i="6"/>
  <c r="A48" i="6"/>
  <c r="A47" i="6"/>
  <c r="M19" i="6"/>
  <c r="R19" i="6"/>
  <c r="M17" i="6"/>
  <c r="R17" i="6"/>
  <c r="AB47" i="6"/>
  <c r="L47" i="6"/>
  <c r="AF47" i="6"/>
  <c r="O206" i="6"/>
  <c r="O207" i="6"/>
  <c r="U207" i="6"/>
  <c r="P207" i="6"/>
  <c r="Q207" i="6"/>
  <c r="R207" i="6"/>
  <c r="S207" i="6"/>
  <c r="L207" i="6"/>
  <c r="A17" i="6"/>
  <c r="A19" i="6"/>
  <c r="A39" i="6"/>
  <c r="A40" i="6"/>
  <c r="A41" i="6"/>
  <c r="A43" i="6"/>
  <c r="A44" i="6"/>
  <c r="A45" i="6"/>
  <c r="A46" i="6"/>
  <c r="X19" i="6"/>
  <c r="Y19" i="6"/>
  <c r="W19" i="6"/>
  <c r="Z19" i="6"/>
  <c r="AA19" i="6"/>
  <c r="X17" i="6"/>
  <c r="Y17" i="6"/>
  <c r="W17" i="6"/>
  <c r="Z17" i="6"/>
  <c r="AA17" i="6"/>
  <c r="U19" i="6"/>
  <c r="N17" i="6"/>
  <c r="O17" i="6"/>
  <c r="P17" i="6"/>
  <c r="S17" i="6"/>
  <c r="U17" i="6"/>
  <c r="O118" i="6"/>
  <c r="L206" i="6"/>
  <c r="A207" i="6"/>
  <c r="A208" i="6"/>
  <c r="A210" i="6"/>
  <c r="A211" i="6"/>
  <c r="A212" i="6"/>
  <c r="A214" i="6"/>
  <c r="A217" i="6"/>
  <c r="A219" i="6"/>
  <c r="A222" i="6"/>
  <c r="A223" i="6"/>
  <c r="A224" i="6"/>
  <c r="A225" i="6"/>
  <c r="A226" i="6"/>
  <c r="A227" i="6"/>
  <c r="A228" i="6"/>
  <c r="A229" i="6"/>
  <c r="A230" i="6"/>
  <c r="A231" i="6"/>
  <c r="A232" i="6"/>
  <c r="A233" i="6"/>
  <c r="A234" i="6"/>
  <c r="A235" i="6"/>
  <c r="A236" i="6"/>
  <c r="A237" i="6"/>
  <c r="A238" i="6"/>
  <c r="A242" i="6"/>
  <c r="A243" i="6"/>
  <c r="A244" i="6"/>
  <c r="A245" i="6"/>
  <c r="A246" i="6"/>
  <c r="A247" i="6"/>
  <c r="A248" i="6"/>
  <c r="A249" i="6"/>
  <c r="A250" i="6"/>
  <c r="A251" i="6"/>
  <c r="A253" i="6"/>
  <c r="A254" i="6"/>
  <c r="A256" i="6"/>
  <c r="A258" i="6"/>
  <c r="A259" i="6"/>
  <c r="A260" i="6"/>
  <c r="A261" i="6"/>
  <c r="A262" i="6"/>
  <c r="A263" i="6"/>
  <c r="A264" i="6"/>
  <c r="A265" i="6"/>
  <c r="A267" i="6"/>
  <c r="A268" i="6"/>
  <c r="A8" i="6"/>
  <c r="A9" i="6"/>
  <c r="A10" i="6"/>
  <c r="A11" i="6"/>
  <c r="A12" i="6"/>
  <c r="A13" i="6"/>
  <c r="A28" i="6"/>
  <c r="A29" i="6"/>
  <c r="A30" i="6"/>
  <c r="A31" i="6"/>
  <c r="A32" i="6"/>
  <c r="A33" i="6"/>
  <c r="A34" i="6"/>
  <c r="A35" i="6"/>
  <c r="A36" i="6"/>
  <c r="A37" i="6"/>
  <c r="A38" i="6"/>
  <c r="A206" i="6"/>
  <c r="A205" i="6"/>
  <c r="A203" i="6"/>
  <c r="A201" i="6"/>
  <c r="A200" i="6"/>
  <c r="A199" i="6"/>
  <c r="A198" i="6"/>
  <c r="A197" i="6"/>
  <c r="A196" i="6"/>
  <c r="A195" i="6"/>
  <c r="A194" i="6"/>
  <c r="G192"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4" i="6"/>
  <c r="A153" i="6"/>
  <c r="A152" i="6"/>
  <c r="A151" i="6"/>
  <c r="A150" i="6"/>
  <c r="A149" i="6"/>
  <c r="A148" i="6"/>
  <c r="A147" i="6"/>
  <c r="A146" i="6"/>
  <c r="A143" i="6"/>
  <c r="A142" i="6"/>
  <c r="A141" i="6"/>
  <c r="A140" i="6"/>
  <c r="A139" i="6"/>
  <c r="A138" i="6"/>
  <c r="A137" i="6"/>
  <c r="A136" i="6"/>
  <c r="A134" i="6"/>
  <c r="A133" i="6"/>
  <c r="A132" i="6"/>
  <c r="A131" i="6"/>
  <c r="A130" i="6"/>
  <c r="A129" i="6"/>
  <c r="A128" i="6"/>
  <c r="A127" i="6"/>
  <c r="A126" i="6"/>
  <c r="A125" i="6"/>
  <c r="A124" i="6"/>
  <c r="A123" i="6"/>
  <c r="A122" i="6"/>
  <c r="A121" i="6"/>
  <c r="A120" i="6"/>
  <c r="A119" i="6"/>
  <c r="A118" i="6"/>
  <c r="A42" i="6"/>
  <c r="A15" i="6"/>
  <c r="A16" i="6"/>
  <c r="A18" i="6"/>
  <c r="A14" i="6"/>
  <c r="U206" i="6"/>
  <c r="P206" i="6"/>
  <c r="Q206" i="6"/>
  <c r="R206" i="6"/>
  <c r="S206" i="6"/>
  <c r="O204" i="6"/>
  <c r="U204" i="6"/>
  <c r="P204" i="6"/>
  <c r="Q204" i="6"/>
  <c r="R204" i="6"/>
  <c r="S204" i="6"/>
  <c r="L204" i="6"/>
  <c r="O203" i="6"/>
  <c r="R203" i="6"/>
  <c r="P203" i="6"/>
  <c r="Q203" i="6"/>
  <c r="S203" i="6"/>
  <c r="U203" i="6"/>
  <c r="L203" i="6"/>
  <c r="AB46" i="6"/>
  <c r="L46" i="6"/>
  <c r="AF46" i="6"/>
  <c r="O201" i="6"/>
  <c r="U201" i="6"/>
  <c r="P201" i="6"/>
  <c r="Q201" i="6"/>
  <c r="R201" i="6"/>
  <c r="S201" i="6"/>
  <c r="L201" i="6"/>
  <c r="O200" i="6"/>
  <c r="U200" i="6"/>
  <c r="P200" i="6"/>
  <c r="Q200" i="6"/>
  <c r="R200" i="6"/>
  <c r="S200" i="6"/>
  <c r="L200" i="6"/>
  <c r="O199" i="6"/>
  <c r="U199" i="6"/>
  <c r="P199" i="6"/>
  <c r="Q199" i="6"/>
  <c r="R199" i="6"/>
  <c r="S199" i="6"/>
  <c r="L199" i="6"/>
  <c r="L198" i="6"/>
  <c r="O198" i="6"/>
  <c r="U198" i="6"/>
  <c r="P198" i="6"/>
  <c r="Q198" i="6"/>
  <c r="R198" i="6"/>
  <c r="S198" i="6"/>
  <c r="AB45" i="6"/>
  <c r="L45" i="6"/>
  <c r="AF45" i="6"/>
  <c r="O192" i="6"/>
  <c r="O190" i="6"/>
  <c r="U192" i="6"/>
  <c r="P192" i="6"/>
  <c r="Q192" i="6"/>
  <c r="R192" i="6"/>
  <c r="S192" i="6"/>
  <c r="L192" i="6"/>
  <c r="U190" i="6"/>
  <c r="P190" i="6"/>
  <c r="Q190" i="6"/>
  <c r="R190" i="6"/>
  <c r="S190" i="6"/>
  <c r="L190" i="6"/>
  <c r="O154" i="6"/>
  <c r="O152" i="6"/>
  <c r="O150" i="6"/>
  <c r="O157" i="6"/>
  <c r="O134" i="6"/>
  <c r="O130" i="6"/>
  <c r="O128" i="6"/>
  <c r="O121" i="6"/>
  <c r="O188" i="6"/>
  <c r="O185" i="6"/>
  <c r="O186" i="6"/>
  <c r="O187" i="6"/>
  <c r="O184" i="6"/>
  <c r="P182" i="6"/>
  <c r="Q182" i="6"/>
  <c r="O182" i="6"/>
  <c r="R182" i="6"/>
  <c r="S182" i="6"/>
  <c r="P184" i="6"/>
  <c r="Q184" i="6"/>
  <c r="R184" i="6"/>
  <c r="S184" i="6"/>
  <c r="P185" i="6"/>
  <c r="Q185" i="6"/>
  <c r="R185" i="6"/>
  <c r="S185" i="6"/>
  <c r="P186" i="6"/>
  <c r="Q186" i="6"/>
  <c r="R186" i="6"/>
  <c r="S186" i="6"/>
  <c r="P187" i="6"/>
  <c r="Q187" i="6"/>
  <c r="R187" i="6"/>
  <c r="S187" i="6"/>
  <c r="P188" i="6"/>
  <c r="Q188" i="6"/>
  <c r="R188" i="6"/>
  <c r="S188" i="6"/>
  <c r="U188" i="6"/>
  <c r="L188" i="6"/>
  <c r="AF9" i="6"/>
  <c r="AF11" i="6"/>
  <c r="AF12" i="6"/>
  <c r="AF14" i="6"/>
  <c r="AF15" i="6"/>
  <c r="AF16" i="6"/>
  <c r="AF17" i="6"/>
  <c r="AF18" i="6"/>
  <c r="AF19" i="6"/>
  <c r="AF8" i="6"/>
  <c r="AF29" i="6"/>
  <c r="AF30" i="6"/>
  <c r="AF31" i="6"/>
  <c r="AF32" i="6"/>
  <c r="AF33" i="6"/>
  <c r="AF36" i="6"/>
  <c r="AF38" i="6"/>
  <c r="AF39" i="6"/>
  <c r="AF40" i="6"/>
  <c r="AF41" i="6"/>
  <c r="AF43" i="6"/>
  <c r="AF44" i="6"/>
  <c r="L44" i="6"/>
  <c r="X186" i="6"/>
  <c r="W186" i="6"/>
  <c r="U187" i="6"/>
  <c r="L187" i="6"/>
  <c r="U186" i="6"/>
  <c r="L186" i="6"/>
  <c r="U185" i="6"/>
  <c r="L185" i="6"/>
  <c r="L184" i="6"/>
  <c r="L43" i="6"/>
  <c r="L182" i="6"/>
  <c r="L42" i="6"/>
  <c r="L171" i="6"/>
  <c r="L177" i="6"/>
  <c r="M78" i="6"/>
  <c r="O78" i="6"/>
  <c r="N78" i="6"/>
  <c r="L41" i="6"/>
  <c r="L174" i="6"/>
  <c r="L176" i="6"/>
  <c r="L168" i="6"/>
  <c r="L40" i="6"/>
  <c r="L166" i="6"/>
  <c r="L164" i="6"/>
  <c r="L39" i="6"/>
  <c r="L158" i="6"/>
  <c r="L157" i="6"/>
  <c r="M16" i="6"/>
  <c r="O16" i="6"/>
  <c r="N16" i="6"/>
  <c r="L156" i="6"/>
  <c r="U184" i="6"/>
  <c r="V19" i="6"/>
  <c r="N19" i="6"/>
  <c r="O19" i="6"/>
  <c r="L19" i="6"/>
  <c r="L154" i="6"/>
  <c r="L152" i="6"/>
  <c r="L151" i="6"/>
  <c r="L150" i="6"/>
  <c r="L148" i="6"/>
  <c r="L146" i="6"/>
  <c r="L17" i="6"/>
  <c r="V17" i="6"/>
  <c r="L134" i="6"/>
  <c r="L133" i="6"/>
  <c r="L130" i="6"/>
  <c r="L129" i="6"/>
  <c r="L128" i="6"/>
  <c r="L122" i="6"/>
  <c r="L121" i="6"/>
  <c r="V16" i="6"/>
  <c r="L120" i="6"/>
  <c r="V15" i="6"/>
  <c r="N15" i="6"/>
  <c r="M15" i="6"/>
  <c r="R15" i="6"/>
  <c r="L16" i="6"/>
  <c r="L15" i="6"/>
  <c r="L118" i="6"/>
  <c r="L116" i="6"/>
  <c r="H116" i="6"/>
  <c r="L115" i="6"/>
  <c r="H115" i="6"/>
  <c r="H114" i="6"/>
  <c r="H99" i="6"/>
  <c r="H100" i="6"/>
  <c r="H101" i="6"/>
  <c r="H102" i="6"/>
  <c r="L114" i="6"/>
  <c r="L14" i="6"/>
  <c r="V14" i="6"/>
  <c r="N14" i="6"/>
  <c r="M14" i="6"/>
  <c r="R14" i="6"/>
  <c r="H14" i="6"/>
  <c r="L113" i="6"/>
  <c r="H13" i="6"/>
  <c r="H113" i="6"/>
  <c r="L111" i="6"/>
  <c r="H112" i="6"/>
  <c r="H110" i="6"/>
  <c r="H111" i="6"/>
  <c r="L110" i="6"/>
  <c r="L33" i="6"/>
  <c r="H33" i="6"/>
  <c r="L109" i="6"/>
  <c r="L32" i="6"/>
  <c r="L107" i="6"/>
  <c r="L106" i="6"/>
  <c r="L104" i="6"/>
  <c r="L102" i="6"/>
  <c r="N12" i="6"/>
  <c r="M12" i="6"/>
  <c r="R12" i="6"/>
  <c r="V12" i="6"/>
  <c r="L12" i="6"/>
  <c r="L101" i="6"/>
  <c r="L100" i="6"/>
  <c r="L99" i="6"/>
  <c r="L98" i="6"/>
  <c r="L97" i="6"/>
  <c r="L96" i="6"/>
  <c r="V8" i="6"/>
  <c r="V9" i="6"/>
  <c r="V11" i="6"/>
  <c r="L11" i="6"/>
  <c r="N11" i="6"/>
  <c r="M11" i="6"/>
  <c r="R11" i="6"/>
  <c r="H95" i="6"/>
  <c r="L94" i="6"/>
  <c r="H93" i="6"/>
  <c r="H90" i="6"/>
  <c r="H89" i="6"/>
  <c r="L87" i="6"/>
  <c r="L30" i="6"/>
  <c r="L84" i="6"/>
  <c r="L83" i="6"/>
  <c r="L82" i="6"/>
  <c r="L29" i="6"/>
  <c r="L28" i="6"/>
  <c r="H29" i="6"/>
  <c r="H80" i="6"/>
  <c r="H79" i="6"/>
  <c r="D78" i="6"/>
  <c r="E78" i="6"/>
  <c r="F78" i="6"/>
  <c r="H28" i="6"/>
  <c r="H78" i="6"/>
  <c r="L9" i="6"/>
  <c r="L8" i="6"/>
  <c r="V7" i="6"/>
  <c r="N8" i="6"/>
  <c r="N9" i="6"/>
  <c r="N7" i="6"/>
  <c r="M7" i="6"/>
  <c r="O7" i="6"/>
  <c r="P7" i="6"/>
  <c r="S7" i="6"/>
  <c r="U7" i="6"/>
  <c r="M8" i="6"/>
  <c r="R8" i="6"/>
  <c r="O8" i="6"/>
  <c r="P8" i="6"/>
  <c r="S8" i="6"/>
  <c r="U8" i="6"/>
  <c r="M9" i="6"/>
  <c r="R9" i="6"/>
  <c r="R7" i="6"/>
  <c r="L7" i="6"/>
  <c r="O14" i="6"/>
  <c r="P14" i="6"/>
  <c r="S14" i="6"/>
  <c r="U14" i="6"/>
  <c r="O15" i="6"/>
  <c r="P15" i="6"/>
  <c r="S15" i="6"/>
  <c r="U15" i="6"/>
  <c r="R16" i="6"/>
  <c r="V22" i="6"/>
  <c r="P19" i="6"/>
  <c r="O11" i="6"/>
  <c r="P11" i="6"/>
  <c r="S11" i="6"/>
  <c r="U11" i="6"/>
  <c r="O171" i="6"/>
  <c r="O94" i="6"/>
  <c r="O106" i="6"/>
  <c r="O83" i="6"/>
  <c r="O77" i="6"/>
  <c r="O146" i="6"/>
  <c r="O110" i="6"/>
  <c r="W14" i="6"/>
  <c r="Z14" i="6"/>
  <c r="O156" i="6"/>
  <c r="W16" i="6"/>
  <c r="Z16" i="6"/>
  <c r="O111" i="6"/>
  <c r="O99" i="6"/>
  <c r="O122" i="6"/>
  <c r="O98" i="6"/>
  <c r="O120" i="6"/>
  <c r="O100" i="6"/>
  <c r="O109" i="6"/>
  <c r="O151" i="6"/>
  <c r="O87" i="6"/>
  <c r="O158" i="6"/>
  <c r="W8" i="6"/>
  <c r="O102" i="6"/>
  <c r="O164" i="6"/>
  <c r="O82" i="6"/>
  <c r="O177" i="6"/>
  <c r="O84" i="6"/>
  <c r="O115" i="6"/>
  <c r="O133" i="6"/>
  <c r="O168" i="6"/>
  <c r="W12" i="6"/>
  <c r="Z12" i="6"/>
  <c r="O113" i="6"/>
  <c r="O174" i="6"/>
  <c r="O104" i="6"/>
  <c r="O148" i="6"/>
  <c r="O116" i="6"/>
  <c r="W11" i="6"/>
  <c r="Z11" i="6"/>
  <c r="W15" i="6"/>
  <c r="Z15" i="6"/>
  <c r="O97" i="6"/>
  <c r="O107" i="6"/>
  <c r="O176" i="6"/>
  <c r="O96" i="6"/>
  <c r="O114" i="6"/>
  <c r="O166" i="6"/>
  <c r="O129" i="6"/>
  <c r="O101" i="6"/>
  <c r="W9" i="6"/>
  <c r="Z9" i="6"/>
  <c r="W7" i="6"/>
  <c r="Z7" i="6"/>
  <c r="P16" i="6"/>
  <c r="S16" i="6"/>
  <c r="U16" i="6"/>
  <c r="R23" i="6"/>
  <c r="O12" i="6"/>
  <c r="P12" i="6"/>
  <c r="S12" i="6"/>
  <c r="U12" i="6"/>
  <c r="O9" i="6"/>
  <c r="P9" i="6"/>
  <c r="S9" i="6"/>
  <c r="U9" i="6"/>
  <c r="U23" i="6"/>
  <c r="P78" i="6"/>
  <c r="Q78" i="6"/>
  <c r="U171" i="6"/>
  <c r="R171" i="6"/>
  <c r="R96" i="6"/>
  <c r="U96" i="6"/>
  <c r="U156" i="6"/>
  <c r="R156" i="6"/>
  <c r="U118" i="6"/>
  <c r="R118" i="6"/>
  <c r="U116" i="6"/>
  <c r="R116" i="6"/>
  <c r="R84" i="6"/>
  <c r="U84" i="6"/>
  <c r="U152" i="6"/>
  <c r="R152" i="6"/>
  <c r="U157" i="6"/>
  <c r="R157" i="6"/>
  <c r="R115" i="6"/>
  <c r="U115" i="6"/>
  <c r="U158" i="6"/>
  <c r="R158" i="6"/>
  <c r="R176" i="6"/>
  <c r="U176" i="6"/>
  <c r="R148" i="6"/>
  <c r="U148" i="6"/>
  <c r="U177" i="6"/>
  <c r="R177" i="6"/>
  <c r="R87" i="6"/>
  <c r="U87" i="6"/>
  <c r="R98" i="6"/>
  <c r="U98" i="6"/>
  <c r="R110" i="6"/>
  <c r="U110" i="6"/>
  <c r="P174" i="6"/>
  <c r="Q174" i="6"/>
  <c r="P109" i="6"/>
  <c r="Q109" i="6"/>
  <c r="P84" i="6"/>
  <c r="Q84" i="6"/>
  <c r="S84" i="6"/>
  <c r="X7" i="6"/>
  <c r="Y7" i="6"/>
  <c r="AA7" i="6"/>
  <c r="X16" i="6"/>
  <c r="Y16" i="6"/>
  <c r="AA16" i="6"/>
  <c r="P77" i="6"/>
  <c r="Q77" i="6"/>
  <c r="P114" i="6"/>
  <c r="Q114" i="6"/>
  <c r="P150" i="6"/>
  <c r="Q150" i="6"/>
  <c r="P156" i="6"/>
  <c r="Q156" i="6"/>
  <c r="S156" i="6"/>
  <c r="P133" i="6"/>
  <c r="Q133" i="6"/>
  <c r="P94" i="6"/>
  <c r="Q94" i="6"/>
  <c r="P171" i="6"/>
  <c r="Q171" i="6"/>
  <c r="S171" i="6"/>
  <c r="X11" i="6"/>
  <c r="Y11" i="6"/>
  <c r="AA11" i="6"/>
  <c r="P101" i="6"/>
  <c r="Q101" i="6"/>
  <c r="P104" i="6"/>
  <c r="Q104" i="6"/>
  <c r="P96" i="6"/>
  <c r="Q96" i="6"/>
  <c r="S96" i="6"/>
  <c r="P151" i="6"/>
  <c r="Q151" i="6"/>
  <c r="P128" i="6"/>
  <c r="Q128" i="6"/>
  <c r="P134" i="6"/>
  <c r="Q134" i="6"/>
  <c r="P176" i="6"/>
  <c r="Q176" i="6"/>
  <c r="P107" i="6"/>
  <c r="Q107" i="6"/>
  <c r="P98" i="6"/>
  <c r="Q98" i="6"/>
  <c r="S98" i="6"/>
  <c r="P152" i="6"/>
  <c r="Q152" i="6"/>
  <c r="S152" i="6"/>
  <c r="P157" i="6"/>
  <c r="Q157" i="6"/>
  <c r="P166" i="6"/>
  <c r="Q166" i="6"/>
  <c r="P110" i="6"/>
  <c r="Q110" i="6"/>
  <c r="S110" i="6"/>
  <c r="P111" i="6"/>
  <c r="Q111" i="6"/>
  <c r="P102" i="6"/>
  <c r="Q102" i="6"/>
  <c r="P148" i="6"/>
  <c r="Q148" i="6"/>
  <c r="X15" i="6"/>
  <c r="Y15" i="6"/>
  <c r="X9" i="6"/>
  <c r="Y9" i="6"/>
  <c r="AA9" i="6"/>
  <c r="P100" i="6"/>
  <c r="Q100" i="6"/>
  <c r="X8" i="6"/>
  <c r="P121" i="6"/>
  <c r="Q121" i="6"/>
  <c r="R121" i="6"/>
  <c r="S121" i="6"/>
  <c r="P129" i="6"/>
  <c r="Q129" i="6"/>
  <c r="P168" i="6"/>
  <c r="Q168" i="6"/>
  <c r="P113" i="6"/>
  <c r="Q113" i="6"/>
  <c r="P177" i="6"/>
  <c r="Q177" i="6"/>
  <c r="S177" i="6"/>
  <c r="P164" i="6"/>
  <c r="Q164" i="6"/>
  <c r="P154" i="6"/>
  <c r="Q154" i="6"/>
  <c r="P158" i="6"/>
  <c r="Q158" i="6"/>
  <c r="S158" i="6"/>
  <c r="P120" i="6"/>
  <c r="Q120" i="6"/>
  <c r="P106" i="6"/>
  <c r="Q106" i="6"/>
  <c r="P87" i="6"/>
  <c r="Q87" i="6"/>
  <c r="S87" i="6"/>
  <c r="P97" i="6"/>
  <c r="Q97" i="6"/>
  <c r="P82" i="6"/>
  <c r="Q82" i="6"/>
  <c r="X12" i="6"/>
  <c r="Y12" i="6"/>
  <c r="AA12" i="6"/>
  <c r="P116" i="6"/>
  <c r="Q116" i="6"/>
  <c r="S116" i="6"/>
  <c r="P118" i="6"/>
  <c r="Q118" i="6"/>
  <c r="X14" i="6"/>
  <c r="Y14" i="6"/>
  <c r="AA14" i="6"/>
  <c r="P83" i="6"/>
  <c r="Q83" i="6"/>
  <c r="P146" i="6"/>
  <c r="Q146" i="6"/>
  <c r="R146" i="6"/>
  <c r="S146" i="6"/>
  <c r="P122" i="6"/>
  <c r="Q122" i="6"/>
  <c r="P130" i="6"/>
  <c r="Q130" i="6"/>
  <c r="P99" i="6"/>
  <c r="Q99" i="6"/>
  <c r="P115" i="6"/>
  <c r="Q115" i="6"/>
  <c r="R114" i="6"/>
  <c r="U114" i="6"/>
  <c r="U107" i="6"/>
  <c r="R107" i="6"/>
  <c r="U182" i="6"/>
  <c r="U121" i="6"/>
  <c r="U128" i="6"/>
  <c r="R128" i="6"/>
  <c r="U99" i="6"/>
  <c r="R99" i="6"/>
  <c r="U133" i="6"/>
  <c r="R133" i="6"/>
  <c r="W23" i="6"/>
  <c r="Z8" i="6"/>
  <c r="Z22" i="6"/>
  <c r="W22" i="6"/>
  <c r="U134" i="6"/>
  <c r="R134" i="6"/>
  <c r="R104" i="6"/>
  <c r="U104" i="6"/>
  <c r="R174" i="6"/>
  <c r="U174" i="6"/>
  <c r="R150" i="6"/>
  <c r="U150" i="6"/>
  <c r="R151" i="6"/>
  <c r="U151" i="6"/>
  <c r="U146" i="6"/>
  <c r="U154" i="6"/>
  <c r="R154" i="6"/>
  <c r="U164" i="6"/>
  <c r="R164" i="6"/>
  <c r="R109" i="6"/>
  <c r="U109" i="6"/>
  <c r="U77" i="6"/>
  <c r="R77" i="6"/>
  <c r="U101" i="6"/>
  <c r="R101" i="6"/>
  <c r="U97" i="6"/>
  <c r="R97" i="6"/>
  <c r="R113" i="6"/>
  <c r="R102" i="6"/>
  <c r="U102" i="6"/>
  <c r="R100" i="6"/>
  <c r="U100" i="6"/>
  <c r="R111" i="6"/>
  <c r="U111" i="6"/>
  <c r="U83" i="6"/>
  <c r="R83" i="6"/>
  <c r="U129" i="6"/>
  <c r="R129" i="6"/>
  <c r="U120" i="6"/>
  <c r="R120" i="6"/>
  <c r="R106" i="6"/>
  <c r="U106" i="6"/>
  <c r="R82" i="6"/>
  <c r="U82" i="6"/>
  <c r="R130" i="6"/>
  <c r="U130" i="6"/>
  <c r="R122" i="6"/>
  <c r="U122" i="6"/>
  <c r="U78" i="6"/>
  <c r="R78" i="6"/>
  <c r="S78" i="6"/>
  <c r="U166" i="6"/>
  <c r="R166" i="6"/>
  <c r="U168" i="6"/>
  <c r="R168" i="6"/>
  <c r="R94" i="6"/>
  <c r="U94" i="6"/>
  <c r="S120" i="6"/>
  <c r="S118" i="6"/>
  <c r="S111" i="6"/>
  <c r="S128" i="6"/>
  <c r="S94" i="6"/>
  <c r="S109" i="6"/>
  <c r="S164" i="6"/>
  <c r="S166" i="6"/>
  <c r="S102" i="6"/>
  <c r="S99" i="6"/>
  <c r="S97" i="6"/>
  <c r="S113" i="6"/>
  <c r="S104" i="6"/>
  <c r="Y8" i="6"/>
  <c r="X23" i="6"/>
  <c r="S130" i="6"/>
  <c r="S107" i="6"/>
  <c r="S101" i="6"/>
  <c r="S122" i="6"/>
  <c r="S148" i="6"/>
  <c r="S176" i="6"/>
  <c r="S168" i="6"/>
  <c r="S83" i="6"/>
  <c r="S106" i="6"/>
  <c r="S129" i="6"/>
  <c r="S134" i="6"/>
  <c r="S154" i="6"/>
  <c r="S151" i="6"/>
  <c r="S133" i="6"/>
  <c r="S174" i="6"/>
  <c r="S100" i="6"/>
  <c r="S157" i="6"/>
  <c r="S150" i="6"/>
  <c r="S114" i="6"/>
  <c r="S115" i="6"/>
  <c r="S82" i="6"/>
  <c r="S77" i="6"/>
  <c r="AA8" i="6"/>
  <c r="Y22" i="6"/>
  <c r="AA75" i="6"/>
  <c r="AB43" i="6"/>
  <c r="AB44" i="6"/>
  <c r="AA74" i="6"/>
  <c r="AB33" i="6"/>
  <c r="AB30" i="6"/>
  <c r="AB39" i="6"/>
  <c r="AB41" i="6"/>
  <c r="AB42" i="6"/>
  <c r="AB32" i="6"/>
  <c r="AB40" i="6"/>
  <c r="AB29" i="6"/>
  <c r="AB28" i="6"/>
  <c r="AA22" i="6"/>
  <c r="AB8" i="6"/>
  <c r="AA23" i="6"/>
  <c r="AA25" i="6"/>
  <c r="AA24" i="6"/>
  <c r="AB15" i="6"/>
  <c r="AB14" i="6"/>
  <c r="AB17" i="6"/>
  <c r="AB12" i="6"/>
  <c r="AB7" i="6"/>
  <c r="AB9" i="6"/>
  <c r="AB11" i="6"/>
  <c r="AB16" i="6"/>
  <c r="AB19" i="6"/>
  <c r="D15" i="15" l="1" a="1"/>
  <c r="D15" i="15" s="1"/>
  <c r="E15" i="15" s="1"/>
  <c r="I3" i="18" a="1"/>
  <c r="I3" i="18" s="1"/>
  <c r="I4" i="15"/>
  <c r="J4" i="15"/>
  <c r="K4" i="15" s="1"/>
  <c r="M4" i="15" s="1"/>
  <c r="O4" i="15" s="1"/>
  <c r="Y3" i="18" a="1"/>
  <c r="Y3" i="18" s="1"/>
  <c r="J6" i="15"/>
  <c r="I6" i="15"/>
  <c r="K6" i="15" s="1"/>
  <c r="M6" i="15" s="1"/>
  <c r="O6" i="15" s="1"/>
  <c r="G3" i="18" a="1"/>
  <c r="G3" i="18" s="1"/>
  <c r="X3" i="18" a="1"/>
  <c r="X3" i="18" s="1"/>
  <c r="U3" i="18" a="1"/>
  <c r="U3" i="18" s="1"/>
  <c r="V3" i="18" a="1"/>
  <c r="V3" i="18" s="1"/>
  <c r="J8" i="15"/>
  <c r="K8" i="15" s="1"/>
  <c r="M8" i="15" s="1"/>
  <c r="O8" i="15" s="1"/>
  <c r="H3" i="18" a="1"/>
  <c r="H3" i="18" s="1"/>
  <c r="E21" i="15"/>
  <c r="J7" i="15"/>
  <c r="K7" i="15" s="1"/>
  <c r="M7" i="15" s="1"/>
  <c r="O7" i="15" s="1"/>
  <c r="F16" i="15"/>
  <c r="J9" i="15"/>
  <c r="K9" i="15" s="1"/>
  <c r="M9" i="15" s="1"/>
  <c r="O9" i="15" s="1"/>
  <c r="G23" i="15"/>
  <c r="J5" i="15"/>
  <c r="K5" i="15" s="1"/>
  <c r="M5" i="15" s="1"/>
  <c r="O5" i="15" s="1"/>
  <c r="E27" i="15"/>
  <c r="F24" i="15"/>
  <c r="L5" i="15"/>
  <c r="N5" i="15" s="1"/>
  <c r="G28" i="15"/>
  <c r="G20" i="15"/>
  <c r="E26" i="15"/>
  <c r="F23" i="15"/>
  <c r="E18" i="15"/>
  <c r="H18" i="15" s="1"/>
  <c r="G27" i="15"/>
  <c r="G19" i="15"/>
  <c r="F28" i="15"/>
  <c r="F20" i="15"/>
  <c r="L7" i="15"/>
  <c r="N7" i="15" s="1"/>
  <c r="L8" i="15"/>
  <c r="N8" i="15" s="1"/>
  <c r="L9" i="15"/>
  <c r="N9" i="15" s="1"/>
  <c r="G26" i="15"/>
  <c r="G18" i="15"/>
  <c r="E28" i="15"/>
  <c r="F25" i="15"/>
  <c r="E20" i="15"/>
  <c r="F17" i="15"/>
  <c r="G24" i="15"/>
  <c r="G16" i="15"/>
  <c r="F27" i="15"/>
  <c r="E22" i="15"/>
  <c r="H22" i="15" s="1"/>
  <c r="F19" i="15"/>
  <c r="J3" i="18" a="1"/>
  <c r="J3" i="18" s="1"/>
  <c r="G29" i="15"/>
  <c r="G22" i="15"/>
  <c r="F21" i="15"/>
  <c r="E16" i="15"/>
  <c r="F29" i="15"/>
  <c r="E29" i="15"/>
  <c r="G21" i="15"/>
  <c r="F26" i="15"/>
  <c r="F18" i="15"/>
  <c r="L4" i="15"/>
  <c r="N4" i="15" s="1"/>
  <c r="C15" i="15"/>
  <c r="G25" i="15"/>
  <c r="G17" i="15"/>
  <c r="E25" i="15"/>
  <c r="E17" i="15"/>
  <c r="E23" i="15" l="1"/>
  <c r="E19" i="15"/>
  <c r="E24" i="15"/>
  <c r="H20" i="15"/>
  <c r="L6" i="15"/>
  <c r="N6" i="15" s="1"/>
  <c r="P6" i="15" s="1"/>
  <c r="H27" i="15"/>
  <c r="H24" i="15"/>
  <c r="H16" i="15"/>
  <c r="H21" i="15"/>
  <c r="P9" i="15"/>
  <c r="P8" i="15"/>
  <c r="P7" i="15"/>
  <c r="P4" i="15"/>
  <c r="H29" i="15"/>
  <c r="H19" i="15"/>
  <c r="H28" i="15"/>
  <c r="G15" i="15"/>
  <c r="F15" i="15"/>
  <c r="H15" i="15" s="1"/>
  <c r="H26" i="15"/>
  <c r="H17" i="15"/>
  <c r="P5" i="15"/>
  <c r="H25" i="15"/>
  <c r="H23"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<sst xmlns="http://schemas.openxmlformats.org/spreadsheetml/2006/main" count="1855" uniqueCount="673">
  <si>
    <t>standards</t>
  </si>
  <si>
    <t>IAEA d18O (‰, PDB)</t>
  </si>
  <si>
    <t>Wostbrock calcite D'17O</t>
  </si>
  <si>
    <t>NBS-19</t>
  </si>
  <si>
    <t>Carrara Marble (IAEA 603)</t>
  </si>
  <si>
    <t>standard</t>
  </si>
  <si>
    <t>Date</t>
  </si>
  <si>
    <t>analyst</t>
  </si>
  <si>
    <t>Sample Size (mg)</t>
  </si>
  <si>
    <t>Sample Size (mTorr)</t>
  </si>
  <si>
    <t>Time</t>
  </si>
  <si>
    <t>React Time (hr)</t>
  </si>
  <si>
    <t>Mix Ratio sample</t>
  </si>
  <si>
    <t>Mix Ratio ref</t>
  </si>
  <si>
    <t>Mix Ratio sam-ref</t>
  </si>
  <si>
    <t>IAEA calcite d18O</t>
  </si>
  <si>
    <t>IAEA calcite d'18O</t>
  </si>
  <si>
    <t>IAEA calcite d'17O</t>
  </si>
  <si>
    <t>d18O CO2 measured</t>
  </si>
  <si>
    <t>alpha 18O co2-cc</t>
  </si>
  <si>
    <t>IAEA d17O</t>
  </si>
  <si>
    <t>d17O CO2 measured</t>
  </si>
  <si>
    <t>alpha 17O co2-cc</t>
  </si>
  <si>
    <t>D'17O CO2 meas calc</t>
  </si>
  <si>
    <t>d18Occ</t>
  </si>
  <si>
    <t>d17Occ</t>
  </si>
  <si>
    <t>d17O'cc</t>
  </si>
  <si>
    <t>d18O'cc</t>
  </si>
  <si>
    <t>D17O'cc</t>
  </si>
  <si>
    <t>measured-avg</t>
  </si>
  <si>
    <t>notes</t>
  </si>
  <si>
    <t>nbs_19_4_8_23_23</t>
  </si>
  <si>
    <t>Catt</t>
  </si>
  <si>
    <t>NBS19_1_11_04_23</t>
  </si>
  <si>
    <t>All</t>
  </si>
  <si>
    <t xml:space="preserve">for mixing ratio, we entered 'raw 626 mole fraction'; first run by Nicole, Jiawe and Dan; pressure on right gauge (black) 993 torr after mixing, then dropped to 955 torr, maybe because aliquot was taken into the 'analysis' volume'? </t>
  </si>
  <si>
    <t>NBS19_2_11_04_23</t>
  </si>
  <si>
    <t>poor standard deviations</t>
  </si>
  <si>
    <t>NBS19_3_11_04_23</t>
  </si>
  <si>
    <t>no gas, blue gauge read 4 mTorr, run aborted</t>
  </si>
  <si>
    <t>NBS19_4_11_05_23</t>
  </si>
  <si>
    <t>Dan</t>
  </si>
  <si>
    <t>mislabelled NBA19_4_11_05_23 in Igor</t>
  </si>
  <si>
    <t>NBS_19_5_11_05_23</t>
  </si>
  <si>
    <t>Nicole</t>
  </si>
  <si>
    <t>NBS_19_6_11_06_23</t>
  </si>
  <si>
    <t>barely any CO2</t>
  </si>
  <si>
    <t>NBS19_dirty_7_11_06_23</t>
  </si>
  <si>
    <t>NBS19_clean_8_11_06_23</t>
  </si>
  <si>
    <t>NBS19_9_11_08_23</t>
  </si>
  <si>
    <t>split 3 times</t>
  </si>
  <si>
    <t>NBS19_10_11_08_23</t>
  </si>
  <si>
    <t>NBS19_11_11_08_23</t>
  </si>
  <si>
    <t>Jiawei</t>
  </si>
  <si>
    <t>Average</t>
  </si>
  <si>
    <t>per mil</t>
  </si>
  <si>
    <t>sd</t>
  </si>
  <si>
    <t>per meg</t>
  </si>
  <si>
    <t>per meg, sd</t>
  </si>
  <si>
    <t>datetime</t>
  </si>
  <si>
    <t>CMarble_1_11_04_23</t>
  </si>
  <si>
    <t>CMarble_2_11_04_23</t>
  </si>
  <si>
    <t>CMarble_3_11_04_23</t>
  </si>
  <si>
    <t>CMarble_4_11_04_23</t>
  </si>
  <si>
    <t>CMarble_5_11_04_23</t>
  </si>
  <si>
    <t>Cmarble_6_11_05_23</t>
  </si>
  <si>
    <t>Cmarble_7-11_07_23</t>
  </si>
  <si>
    <t>Cmarble_8_11_07_23</t>
  </si>
  <si>
    <t>Cmarble_9_11_07_23</t>
  </si>
  <si>
    <t>Cmarble_10_11_07_23</t>
  </si>
  <si>
    <t>Cmarble_11_11_07_23</t>
  </si>
  <si>
    <t>too small, abort</t>
  </si>
  <si>
    <t>Cmarble_12_11_08_23</t>
  </si>
  <si>
    <t>Cmarble_13_11_09_23</t>
  </si>
  <si>
    <t>reference gas cell pressure is varying a lot</t>
  </si>
  <si>
    <t>Cmarble_14_11_09_23</t>
  </si>
  <si>
    <t>Cmarble_15_11_09_23</t>
  </si>
  <si>
    <t>Nicole/Jiawei</t>
  </si>
  <si>
    <t>Cmarble_16_11_09_23</t>
  </si>
  <si>
    <t>Jiawei/Dan</t>
  </si>
  <si>
    <t>Cmarble_17_11_10_23</t>
  </si>
  <si>
    <t>Cmarble_18_11_10_23</t>
  </si>
  <si>
    <t>Cmarble 19 11 10 23</t>
  </si>
  <si>
    <t>Jeff</t>
  </si>
  <si>
    <t>Cmarble 20 11 10 23</t>
  </si>
  <si>
    <t>Cmarble21_11_11_23</t>
  </si>
  <si>
    <t>Cmarble22_11_11_23</t>
  </si>
  <si>
    <t>Cmarble23_11_11_23</t>
  </si>
  <si>
    <t>Cmarble24_11_12_23</t>
  </si>
  <si>
    <t>Cmarble25_11_12_23</t>
  </si>
  <si>
    <t>Cmarble26_11_23_23</t>
  </si>
  <si>
    <t>Cmarble27_11_23_23</t>
  </si>
  <si>
    <t>Cmarble28_11_23_23</t>
  </si>
  <si>
    <t>Cmarble29_11_13_23</t>
  </si>
  <si>
    <t>Cmarble30_11_13_23</t>
  </si>
  <si>
    <t>Cmarble31_11_13_23</t>
  </si>
  <si>
    <t>JEFF</t>
  </si>
  <si>
    <t>ABORTED</t>
  </si>
  <si>
    <t>Cmarble32_11_13_23</t>
  </si>
  <si>
    <t>Cmarble33_11_13_23</t>
  </si>
  <si>
    <t>Cmarble33_11_14_23</t>
  </si>
  <si>
    <t>Cmarble34_11_14_23</t>
  </si>
  <si>
    <t>Cmarble35_11_14_23</t>
  </si>
  <si>
    <t>Cmarble36_11_14_23</t>
  </si>
  <si>
    <t>Cmarble37_11_15_23</t>
  </si>
  <si>
    <t>Cmarble38_11_15_23</t>
  </si>
  <si>
    <t>Cmarble39_11_15_23</t>
  </si>
  <si>
    <t>Cmarble40_11_15_23</t>
  </si>
  <si>
    <t>Sample</t>
  </si>
  <si>
    <t>size (mg)</t>
  </si>
  <si>
    <t>size (mTorr)</t>
  </si>
  <si>
    <t>d18O CO2 meas</t>
  </si>
  <si>
    <t>d17O CO2 meas</t>
  </si>
  <si>
    <t>n</t>
  </si>
  <si>
    <t>d18Occ PDB</t>
  </si>
  <si>
    <t>7878_vc_1_8_31_23</t>
  </si>
  <si>
    <t>only ran 4 times, need to rerun this sample</t>
  </si>
  <si>
    <t>Cmarble mean</t>
  </si>
  <si>
    <t>LT2_11_04_23_JD</t>
  </si>
  <si>
    <t>sample too small, seuqence got stuck on step "pressure b1 set 992000 mTorr"- pressure went up to 830 torr and then stopped</t>
  </si>
  <si>
    <t>7810D_11_04_23</t>
  </si>
  <si>
    <t>sample too small, sequence got stuck on the same step</t>
  </si>
  <si>
    <t>tank gas</t>
  </si>
  <si>
    <t>LT12_11_04_23_JD</t>
  </si>
  <si>
    <t>2520B_11_04_23_NC</t>
  </si>
  <si>
    <t>LT23_11_04_23_JD</t>
  </si>
  <si>
    <t>5080B_11_04_23_NC</t>
  </si>
  <si>
    <t>6690F_11_04_23_NC</t>
  </si>
  <si>
    <t>LT29_11_04_23_JD</t>
  </si>
  <si>
    <t>1530E_11_04_23_NC</t>
  </si>
  <si>
    <t>sample too small, abort</t>
  </si>
  <si>
    <t>8950E_11_04_23_NC</t>
  </si>
  <si>
    <t>Jiawei and Dan</t>
  </si>
  <si>
    <t>LT35_11_04_23_JD</t>
  </si>
  <si>
    <t>LT41_11_04_23_JD</t>
  </si>
  <si>
    <t>LT46_11_04_23_JD</t>
  </si>
  <si>
    <t>LT49_11_04_23_JD</t>
  </si>
  <si>
    <t>SL10_11_05_23_JD</t>
  </si>
  <si>
    <t>SL27_11_05_23_JD</t>
  </si>
  <si>
    <t>error message on igor: "run stopped before data acquired" after running for about 30 minutes, try running again- on 2nd run, ran out of sample. Bad analysis</t>
  </si>
  <si>
    <t>filled and emptied syringe multiple times from tank before injecting into vial, needle was placed in flushed vial and waited for utrap to freeze and then injected syringe sample</t>
  </si>
  <si>
    <t>LN2 on utrap purposefully low to test, syrineg filling and injection same procedure as above</t>
  </si>
  <si>
    <t>5030A_11_05_23_NC</t>
  </si>
  <si>
    <t>Dan and Nicole</t>
  </si>
  <si>
    <t>sample a bit large</t>
  </si>
  <si>
    <t>SL31_11_05_23_JD</t>
  </si>
  <si>
    <t>5130E_11_05_23_NC</t>
  </si>
  <si>
    <t>SL35_11_05_23_JD</t>
  </si>
  <si>
    <t>5365F_11_05_23_NC</t>
  </si>
  <si>
    <t>Nicole and Jiawei</t>
  </si>
  <si>
    <t>SL53_11_05_23_JD</t>
  </si>
  <si>
    <t>5620A_11_05_23_NC</t>
  </si>
  <si>
    <t>SL72_11_05_23_JD</t>
  </si>
  <si>
    <t>7170B_11_05_23_NC</t>
  </si>
  <si>
    <t>SL85_11_05_23_JD</t>
  </si>
  <si>
    <t>SL85_11_05_23_NC</t>
  </si>
  <si>
    <t>7430B_11_05_23_NC</t>
  </si>
  <si>
    <t>BJ1_11_05_23_JD</t>
  </si>
  <si>
    <t>only displaying 4 D'17O values on results screen- something may be wrong with this sample</t>
  </si>
  <si>
    <t>7770B_11_06_23_NC</t>
  </si>
  <si>
    <t>8170A_11_06_23_NC</t>
  </si>
  <si>
    <t>?</t>
  </si>
  <si>
    <t>vial says 8170A, file with masses says 8170B</t>
  </si>
  <si>
    <t>8460C_11_06_23_NC</t>
  </si>
  <si>
    <t>8515A_11_06_23_NC</t>
  </si>
  <si>
    <t>tankgas1</t>
  </si>
  <si>
    <t>tankgas2</t>
  </si>
  <si>
    <t>1530E_2_11_06_23_NC</t>
  </si>
  <si>
    <t>ABOVE HERE WERE ALL DIRTY VIALS</t>
  </si>
  <si>
    <t>LT23_2_11_06_23</t>
  </si>
  <si>
    <t>LT2_2_11_06_23</t>
  </si>
  <si>
    <t>LT12_2_11_06_23_JD</t>
  </si>
  <si>
    <t>5080B_1_11_07_23_NC</t>
  </si>
  <si>
    <t>LT29_2_11_06_23_JD</t>
  </si>
  <si>
    <t>yield too small, abort</t>
  </si>
  <si>
    <t>LT35_2_11_06_23_JD</t>
  </si>
  <si>
    <t>LT41_2_11_06_23_JD</t>
  </si>
  <si>
    <t>system stuck</t>
  </si>
  <si>
    <t>yield is a bit low, abort</t>
  </si>
  <si>
    <t>SL31_2_11_06_23_JD</t>
  </si>
  <si>
    <t>yield too low, abort</t>
  </si>
  <si>
    <t>3670E_1_11_07_23_NC</t>
  </si>
  <si>
    <t>LT46_2_11_06_23_JD</t>
  </si>
  <si>
    <t>2210D_1_11_07_23_NC</t>
  </si>
  <si>
    <t>LT49_2_11_06_23_JD</t>
  </si>
  <si>
    <t>yield not enough, abort</t>
  </si>
  <si>
    <t>4120C_1_11_07_23_NC</t>
  </si>
  <si>
    <t>SL10_2_11_06_23_JD</t>
  </si>
  <si>
    <t>high standard deviations</t>
  </si>
  <si>
    <t>5620A_11_07_23_NC</t>
  </si>
  <si>
    <t>almost enough gas but not quite. Stopped at pressure b1 set 992000 mTorr. Red digital display reads 988.3. Ran anyway</t>
  </si>
  <si>
    <t>Acid injected into three NBS 19s at 23:30</t>
  </si>
  <si>
    <t>tank gas- utrap dewar full</t>
  </si>
  <si>
    <t>tank gas- utrap dewar full new syringe</t>
  </si>
  <si>
    <t>SL27_11_08_23_JD</t>
  </si>
  <si>
    <t>loose cap, tiny sample. Not sure why these caps are loosening. Checked other vials and they are all tight</t>
  </si>
  <si>
    <t>tank gas- utrap dewar low new syringe</t>
  </si>
  <si>
    <t>I think low yields are not related to the line, but to either loose caps or perhaps for Carrara Marble, not enough material</t>
  </si>
  <si>
    <t>Will run NBS-19 next to check. Will wait until 2:30 to run so that the standard react at least 3 hours</t>
  </si>
  <si>
    <t>SL35_11_08_23_JD</t>
  </si>
  <si>
    <t>This one ran even though it was small</t>
  </si>
  <si>
    <t>8950E2_11_08_23_NC</t>
  </si>
  <si>
    <t>approx 470</t>
  </si>
  <si>
    <t>not enough sample, started analysis, but cell pressure too low and red digital gauge was 880</t>
  </si>
  <si>
    <t>SL53_11_08_23_JD</t>
  </si>
  <si>
    <t>8950E1_11_08_23_NC</t>
  </si>
  <si>
    <t>7810E_1_11_08_23_NC</t>
  </si>
  <si>
    <t>SL72_11_08_23_JD</t>
  </si>
  <si>
    <t>7810E_2_11_08_23</t>
  </si>
  <si>
    <t>acidified marbles at 11:29</t>
  </si>
  <si>
    <t>all vials flushed with tape</t>
  </si>
  <si>
    <t>SL85</t>
  </si>
  <si>
    <t>low - did not run</t>
  </si>
  <si>
    <t>7810E_3_11_08_23_NC</t>
  </si>
  <si>
    <t>injected acid at 15:00</t>
  </si>
  <si>
    <t>BJ-1_11_08_23_JD</t>
  </si>
  <si>
    <t>ref gas cell pressure drifted</t>
  </si>
  <si>
    <t>5080B_3_11_08_23_NC</t>
  </si>
  <si>
    <t>BX-1_11_08_23_JD</t>
  </si>
  <si>
    <t>5080B_2_11_08_23_NC</t>
  </si>
  <si>
    <t>low yield, abort</t>
  </si>
  <si>
    <t>LC-1_11_08_23_JD</t>
  </si>
  <si>
    <t>YC-1_11_08_23_JD</t>
  </si>
  <si>
    <t>injected acid at 20:35</t>
  </si>
  <si>
    <t>vials into acid bath 22:00</t>
  </si>
  <si>
    <t>LT23_11_08_23_JD</t>
  </si>
  <si>
    <t>approx 520</t>
  </si>
  <si>
    <t>take a look at precision, this looks like it might be more variable than others</t>
  </si>
  <si>
    <t>1800B1_11_09_23_NC</t>
  </si>
  <si>
    <t>too small</t>
  </si>
  <si>
    <t>LT12_11_09_23_JD</t>
  </si>
  <si>
    <t>1800B2_11_09_23_NC</t>
  </si>
  <si>
    <t>LT2_11_09_23_JD</t>
  </si>
  <si>
    <t>1530E1_11_09_23_NC</t>
  </si>
  <si>
    <t>approx 370</t>
  </si>
  <si>
    <t>1530E2_11_09_23_NC</t>
  </si>
  <si>
    <t>LT29_11_09_23_JD</t>
  </si>
  <si>
    <t>1530E3_11_09_23_NC</t>
  </si>
  <si>
    <t>Dan &amp; Nicole</t>
  </si>
  <si>
    <t>low</t>
  </si>
  <si>
    <t>LT46_11_09_23_JD</t>
  </si>
  <si>
    <t>LT49_111_09_23_JD</t>
  </si>
  <si>
    <t>SL10_3_11_09_23_JD</t>
  </si>
  <si>
    <t>SL_27_11_09_23</t>
  </si>
  <si>
    <t>SL31_3_11_06_23_JD</t>
  </si>
  <si>
    <t>acidified at 12:50</t>
  </si>
  <si>
    <t>SL35_11_09_23_JD</t>
  </si>
  <si>
    <t>cell pressure not stable</t>
  </si>
  <si>
    <t xml:space="preserve">acidified Jiawei samples </t>
  </si>
  <si>
    <t>8950E3_11_09_23_NC</t>
  </si>
  <si>
    <t>mislabelled in IRIS as 8950E3</t>
  </si>
  <si>
    <t>8950E2_11_09_23_NC</t>
  </si>
  <si>
    <t>8950E1_11_10_23_NC</t>
  </si>
  <si>
    <t>mislabelled 8950E1_11_09_23_NC</t>
  </si>
  <si>
    <t>5080B2_11_10_23_NC</t>
  </si>
  <si>
    <t>5080B3_11_10_23_NC</t>
  </si>
  <si>
    <t>1530E1_11_10_23_NC</t>
  </si>
  <si>
    <t>too low</t>
  </si>
  <si>
    <t>SL53_11_10_23_JD</t>
  </si>
  <si>
    <t>6690F_11_10_23_NC</t>
  </si>
  <si>
    <t>7170B_1_11_10_23_NC</t>
  </si>
  <si>
    <t>adjusted target CO2 pressure from 524 to 514 to lower mixing ratio of sample</t>
  </si>
  <si>
    <t>SL72_11_10_23_NC</t>
  </si>
  <si>
    <t>7430B_1_11_10_23_NC</t>
  </si>
  <si>
    <t>1800B_1_11_10_23_NC</t>
  </si>
  <si>
    <t>run a tank gas to check if the pressure is right</t>
  </si>
  <si>
    <t>BJ-1_11_10_23_JD</t>
  </si>
  <si>
    <t>BX-1_11_10_23_JD</t>
  </si>
  <si>
    <t>one reference gas cycle went way off</t>
  </si>
  <si>
    <t>4120C_3_11_10_23_NC</t>
  </si>
  <si>
    <t>LC-1_11_10_23_JD</t>
  </si>
  <si>
    <t>acidified samples</t>
  </si>
  <si>
    <t>5620A1 11-10-23 NC</t>
  </si>
  <si>
    <t>YC-1 11-11-23 JD</t>
  </si>
  <si>
    <t>adjusted dry air pressure to bring up mixing ratio of sample</t>
  </si>
  <si>
    <t>Dan &amp; Jeff</t>
  </si>
  <si>
    <t xml:space="preserve">made a file for dashboard called Standard vial run USE ME_Lower Dry Air with a samller target pressure (976000) when adding dry air </t>
  </si>
  <si>
    <t>LT2_11_11_23_JD</t>
  </si>
  <si>
    <t>Standard vial run USE ME_Lower Dry Air, has the smaller target pressure (976000 instead of 988000) but when I loaded event list 988000 comes up. Also, this sample was small but I decided to run anyway. Sequence stoppe when compression of bellows 1 failed to reach 992000 target pressure. I stopped dashboard and then opened COSTPRES file and ran than (keeps sample at constant pressure of 953000. Then I started the run on IRIS</t>
  </si>
  <si>
    <t>LT12_11_11_23_JD</t>
  </si>
  <si>
    <t>for this one the dashboard is showing the lower target dry air pressure. Sample was also small but I used the same method as above to run the sample. Ran out of gas on last 2 analyses</t>
  </si>
  <si>
    <t>lowered target for dry air before running Cmarble standard</t>
  </si>
  <si>
    <t>lowered target for dry air again, now to 966000</t>
  </si>
  <si>
    <t>1530E_1_11_11_23_NC</t>
  </si>
  <si>
    <t>need to add more phosphoric acid - sample big and was not fully acidified</t>
  </si>
  <si>
    <t>5080B_4_11_11_23_NC</t>
  </si>
  <si>
    <t>LT23_11_11_23_JD</t>
  </si>
  <si>
    <t>7170D2_11_11_23_NC</t>
  </si>
  <si>
    <t>4120C1-2, 5620A1-2, 7430B, 5020)</t>
  </si>
  <si>
    <t>LT29_11_11_23_JD</t>
  </si>
  <si>
    <t>7170D3_11_11_23_NC</t>
  </si>
  <si>
    <t>LT41_11_11_23_JD</t>
  </si>
  <si>
    <t>8515A1_11_11_23_NC</t>
  </si>
  <si>
    <t>LT46_11_11_23_JD</t>
  </si>
  <si>
    <t>acidified five Cmarble</t>
  </si>
  <si>
    <t>LT49_11_11_23_JD</t>
  </si>
  <si>
    <t>8515A2_11_11_23_NC</t>
  </si>
  <si>
    <t>SL-10 11-11-23 JD</t>
  </si>
  <si>
    <t>8515A3 11-12-23 NC</t>
  </si>
  <si>
    <t>pressure reached 869, aborted</t>
  </si>
  <si>
    <t>SL27_11_12_23_JD</t>
  </si>
  <si>
    <t>6690F1_11_12_23_NC</t>
  </si>
  <si>
    <t>just a little too small to reach 992000mTorr target on bellows 1, so stopped dashboard, loaded CONSTPRES ran that sequence and then started run on IRIS, stndard deviation of D'17O higher than normal on this one</t>
  </si>
  <si>
    <t>acidify Jiawei samples row furthest back</t>
  </si>
  <si>
    <t>SL31_11_12_23_JD</t>
  </si>
  <si>
    <t>1800B1_11_12_23_NC</t>
  </si>
  <si>
    <t>SL35_11_12_23_JD</t>
  </si>
  <si>
    <t>4120C_2_11_12_23_NC</t>
  </si>
  <si>
    <t>SL53_11_12_23_JD</t>
  </si>
  <si>
    <t>5620A_3_11_12_23_NC</t>
  </si>
  <si>
    <t>SL72_11_12_23_JD</t>
  </si>
  <si>
    <t>1530E_1_11_12_23_NC</t>
  </si>
  <si>
    <t>tiny yield</t>
  </si>
  <si>
    <t>SL85_11_12_23_JD</t>
  </si>
  <si>
    <t>raw δ17O drifted</t>
  </si>
  <si>
    <t>4120C_3_11_12_23_NC</t>
  </si>
  <si>
    <t>BJ1_11_12_23_JD</t>
  </si>
  <si>
    <t>7430B_11_12_23_NC</t>
  </si>
  <si>
    <t>BX-1_11-12-23_JD</t>
  </si>
  <si>
    <t>5620A2_11-13-23_NC</t>
  </si>
  <si>
    <t>LC-1 11-13-23_JD</t>
  </si>
  <si>
    <t>JEFF and Dan</t>
  </si>
  <si>
    <t>5020A1_11_13_23_NC</t>
  </si>
  <si>
    <t>YC-1_11_13_23_JD</t>
  </si>
  <si>
    <t>3670E_2_11_13_23_NC</t>
  </si>
  <si>
    <t>LT2_11_13_23_JD</t>
  </si>
  <si>
    <t>2210D_2_11_12_23</t>
  </si>
  <si>
    <t>LT29_11_13_23_JD</t>
  </si>
  <si>
    <t>Nicole/Jeff</t>
  </si>
  <si>
    <t>Not recorded</t>
  </si>
  <si>
    <t>1800B2_11_13_23_NC</t>
  </si>
  <si>
    <t>LT-41_11_13_23 JD</t>
  </si>
  <si>
    <t>Tank gas 11-13-23</t>
  </si>
  <si>
    <t>7770B1_11_13_23_NC</t>
  </si>
  <si>
    <t>LT-46 11-13-23 JD</t>
  </si>
  <si>
    <t>8170B_11-13-23 NC</t>
  </si>
  <si>
    <t>LT-49_11-13-23 JD</t>
  </si>
  <si>
    <t>8515A3 11-13-23 NC</t>
  </si>
  <si>
    <t>SL10_11-13-23 JD</t>
  </si>
  <si>
    <t>SL27_11-14-23 JD</t>
  </si>
  <si>
    <t>SL31_11_14_23_JD</t>
  </si>
  <si>
    <t>2210D3_11_14_23_NC</t>
  </si>
  <si>
    <t>SL35_11_14_23_JD</t>
  </si>
  <si>
    <t>3670E3_11_14_23_NC</t>
  </si>
  <si>
    <t>SL72_11_14_23_JD</t>
  </si>
  <si>
    <t>zach messed with the dashboard file and lost pressure had to abort</t>
  </si>
  <si>
    <t>SL85_11_14_23_JD</t>
  </si>
  <si>
    <t>ISSUE- SEE NOTE</t>
  </si>
  <si>
    <t>The data wasn't fitting to the line in TILDAS, I didn't enter the data its in TILDAS</t>
  </si>
  <si>
    <t>LC1_11_14_23_JD</t>
  </si>
  <si>
    <t>1800B3_11_14_23_NC</t>
  </si>
  <si>
    <t>YC1_11_14_23_JD</t>
  </si>
  <si>
    <t>LT2_11_14_23_JD</t>
  </si>
  <si>
    <t>5020A2_11_14_23_NC</t>
  </si>
  <si>
    <t>7770B1_11_14_23_NC</t>
  </si>
  <si>
    <t>LT23_11_14_23_JD</t>
  </si>
  <si>
    <t>LT41_11_14_23_JD</t>
  </si>
  <si>
    <t>SL-85 11-15-23_JD</t>
  </si>
  <si>
    <t>8170B1_11-15-23_NC</t>
  </si>
  <si>
    <t>large CO2 pressure, sample split many times</t>
  </si>
  <si>
    <t>SL27_11_15_23_JD</t>
  </si>
  <si>
    <t>first few analyses were waaaay off. Then settled down</t>
  </si>
  <si>
    <t>3670E3_11_15_23_NC</t>
  </si>
  <si>
    <t>approx 620</t>
  </si>
  <si>
    <t>LT46_11_15_23_JD</t>
  </si>
  <si>
    <t>6690F_2_11_15_23_NC</t>
  </si>
  <si>
    <t>BX1_11_15_23_JD</t>
  </si>
  <si>
    <t>7430B2_11_15_23_NC</t>
  </si>
  <si>
    <t>LT49_11_15_23_JD</t>
  </si>
  <si>
    <t>5365F1_11_15_23_NC</t>
  </si>
  <si>
    <t>SL72_11_15_23_JD</t>
  </si>
  <si>
    <t>6690F3_11_15_23_NC</t>
  </si>
  <si>
    <t>approx 600</t>
  </si>
  <si>
    <t>SL10_11_15_23_JD</t>
  </si>
  <si>
    <t>5130E1_11_15_23_NC</t>
  </si>
  <si>
    <t>7430B3_11_16_23_NC</t>
  </si>
  <si>
    <t>TAPR3</t>
  </si>
  <si>
    <t>Dan and Jeff</t>
  </si>
  <si>
    <t>TAPD5</t>
  </si>
  <si>
    <t>TAP R3</t>
  </si>
  <si>
    <t>TAP D5</t>
  </si>
  <si>
    <t>PSR 5</t>
  </si>
  <si>
    <t>SL-85 11_17_23 JD</t>
  </si>
  <si>
    <t>bad analysis, huge drfit to -5000 per meg</t>
  </si>
  <si>
    <t>NBS</t>
  </si>
  <si>
    <t>Cmarble</t>
  </si>
  <si>
    <t>DAN ENTERED TIME, WHICH WAS BLANK, BASED SAVED IRIS FILE</t>
  </si>
  <si>
    <t>DAN UPDATED DATE- FIXING ERROR ENTERING DATE ORIGINALLY</t>
  </si>
  <si>
    <t>7430B2_11_15_23</t>
  </si>
  <si>
    <t>Sample_ID</t>
  </si>
  <si>
    <t>Avg d18O</t>
  </si>
  <si>
    <t>Avg d17O</t>
  </si>
  <si>
    <t>st error</t>
  </si>
  <si>
    <t>Avg D17O</t>
  </si>
  <si>
    <t>stdev</t>
  </si>
  <si>
    <t>d18O PDB</t>
  </si>
  <si>
    <t>Sample ID</t>
  </si>
  <si>
    <t>T</t>
  </si>
  <si>
    <t>d18O (PDB)</t>
  </si>
  <si>
    <t>d18O(SMOW)</t>
  </si>
  <si>
    <t>d17O (SMOW)</t>
  </si>
  <si>
    <t>Δ'17Occ</t>
  </si>
  <si>
    <t>Δ'17Occ (per meg)</t>
  </si>
  <si>
    <t>18alpha (Tremaine 2011)</t>
  </si>
  <si>
    <t>theta cc-water</t>
  </si>
  <si>
    <t>17alpha</t>
  </si>
  <si>
    <t>d18Osw</t>
  </si>
  <si>
    <t>d17Osw</t>
  </si>
  <si>
    <t>d'18Osw</t>
  </si>
  <si>
    <t>d'17Osw</t>
  </si>
  <si>
    <t>D'17Osw</t>
  </si>
  <si>
    <t>Height (cm)</t>
  </si>
  <si>
    <t>Age (Ma)</t>
  </si>
  <si>
    <t>Mean</t>
  </si>
  <si>
    <t>UT Data</t>
  </si>
  <si>
    <t>psi.R - v2023.09.26</t>
  </si>
  <si>
    <t>1.71.6</t>
  </si>
  <si>
    <t>231003_Jiawei</t>
  </si>
  <si>
    <t xml:space="preserve">; </t>
  </si>
  <si>
    <t>IAEA-C1</t>
  </si>
  <si>
    <t>231004_Czwakiel</t>
  </si>
  <si>
    <t>MERCK</t>
  </si>
  <si>
    <t>231006_Czwakiel</t>
  </si>
  <si>
    <t>ETH-3</t>
  </si>
  <si>
    <t>ETH-2</t>
  </si>
  <si>
    <t>; slight trend in 45 and 46</t>
  </si>
  <si>
    <t>ETH-1</t>
  </si>
  <si>
    <t>Coral</t>
  </si>
  <si>
    <t>need more, D48 too high (&gt;.68)</t>
  </si>
  <si>
    <t xml:space="preserve">; residual gas high; </t>
  </si>
  <si>
    <t>sample</t>
  </si>
  <si>
    <t>8515A_1</t>
  </si>
  <si>
    <t>this sample likely mislabeled - similar to standard values</t>
  </si>
  <si>
    <t>; residual gas high; residual gas issues</t>
  </si>
  <si>
    <t>8460C_2</t>
  </si>
  <si>
    <t>8460C_1</t>
  </si>
  <si>
    <t>st er</t>
  </si>
  <si>
    <t>avg</t>
  </si>
  <si>
    <t>8170A_3</t>
  </si>
  <si>
    <t>sample looking good, analyze some more to have high fidelity, more precise T estimate</t>
  </si>
  <si>
    <t>8170A_2</t>
  </si>
  <si>
    <t>8170A_1</t>
  </si>
  <si>
    <t>D48 of .68 is at the higher end, consider running more replicates</t>
  </si>
  <si>
    <t>7810D_3</t>
  </si>
  <si>
    <t>7810D_2</t>
  </si>
  <si>
    <t>first 2 samples look great</t>
  </si>
  <si>
    <t>7810D_1</t>
  </si>
  <si>
    <t>keep 2:</t>
  </si>
  <si>
    <t>keep 3:</t>
  </si>
  <si>
    <t>7770B_3</t>
  </si>
  <si>
    <t>; funky</t>
  </si>
  <si>
    <t>7770B_2</t>
  </si>
  <si>
    <t>looking at just 2 reps, looks like a great homogeneous sample, so do more reps</t>
  </si>
  <si>
    <t>7770B_1</t>
  </si>
  <si>
    <t>looking at just 2 reps, looks like a good homogeneous sample, so do more reps</t>
  </si>
  <si>
    <t>7170B_1</t>
  </si>
  <si>
    <t xml:space="preserve">one of the reps potentially outlier; do more reps to be able to do outlier statistics. </t>
  </si>
  <si>
    <t>7170B_3</t>
  </si>
  <si>
    <t>7170B_2</t>
  </si>
  <si>
    <t>6690F_3</t>
  </si>
  <si>
    <t>d13c variability not great, need more reps to determine outliers</t>
  </si>
  <si>
    <t>6690F_2</t>
  </si>
  <si>
    <t>6690F_1</t>
  </si>
  <si>
    <t>5365F_3</t>
  </si>
  <si>
    <t>5365F_2</t>
  </si>
  <si>
    <t>5365F_1</t>
  </si>
  <si>
    <t>5130E_3</t>
  </si>
  <si>
    <t>5130E_2</t>
  </si>
  <si>
    <t>5130E_1</t>
  </si>
  <si>
    <t>5020A_3</t>
  </si>
  <si>
    <t>5020A_2</t>
  </si>
  <si>
    <t>good sample, excellent precision</t>
  </si>
  <si>
    <t>5020A_1</t>
  </si>
  <si>
    <t>2520B_3</t>
  </si>
  <si>
    <t>2520B_2</t>
  </si>
  <si>
    <t>good sample, do more reps</t>
  </si>
  <si>
    <t>2520B_1</t>
  </si>
  <si>
    <t>2210D_2</t>
  </si>
  <si>
    <t>2210D_1</t>
  </si>
  <si>
    <t>one rep has d13C and d18O that are off, exclude it. Remaining 2 reps don’t agree well. 0.68 D47 is very low. D48 for 0.63 is not above threshold to pitch, but it is higher than typical. Not a promising sample. Can try more reps if scientifically justified</t>
  </si>
  <si>
    <t>1650A_3</t>
  </si>
  <si>
    <t>; d46 trend</t>
  </si>
  <si>
    <t>1650A_2</t>
  </si>
  <si>
    <t>1650A_1</t>
  </si>
  <si>
    <t>1530E_2</t>
  </si>
  <si>
    <t>1530E_1</t>
  </si>
  <si>
    <t>Temp</t>
  </si>
  <si>
    <t>D48eth</t>
  </si>
  <si>
    <t>D47eth</t>
  </si>
  <si>
    <t>d18Ovpdb</t>
  </si>
  <si>
    <t>d13Cvpdb</t>
  </si>
  <si>
    <t>yield</t>
  </si>
  <si>
    <t>wg_decay</t>
  </si>
  <si>
    <t>sam_decay</t>
  </si>
  <si>
    <t>max_balance</t>
  </si>
  <si>
    <t>mean_balance</t>
  </si>
  <si>
    <t>min_balance</t>
  </si>
  <si>
    <t>sam_min47nA</t>
  </si>
  <si>
    <t>sam_mean47nA</t>
  </si>
  <si>
    <t>sam_max47nA</t>
  </si>
  <si>
    <t>sam_min44nA</t>
  </si>
  <si>
    <t>sam_mean44nA</t>
  </si>
  <si>
    <t>sam_max44nA</t>
  </si>
  <si>
    <t>nu_balance</t>
  </si>
  <si>
    <t>pre_balance_sample_beam</t>
  </si>
  <si>
    <t>initial_sample_beam</t>
  </si>
  <si>
    <t>total_cycles</t>
  </si>
  <si>
    <t>total_blocks</t>
  </si>
  <si>
    <t>max_ref_beam</t>
  </si>
  <si>
    <t>min_ref_beam</t>
  </si>
  <si>
    <t>nchops</t>
  </si>
  <si>
    <t>residual_gas</t>
  </si>
  <si>
    <t>sample_pressure</t>
  </si>
  <si>
    <t>mass</t>
  </si>
  <si>
    <t>psi.R.version</t>
  </si>
  <si>
    <t>Nu_software_Version</t>
  </si>
  <si>
    <t>batch_name</t>
  </si>
  <si>
    <t>unix_time</t>
  </si>
  <si>
    <t>analysis_time</t>
  </si>
  <si>
    <t>R49sam_wg</t>
  </si>
  <si>
    <t>R49wg_sd</t>
  </si>
  <si>
    <t>R49wg_mean</t>
  </si>
  <si>
    <t>R49sam_sd</t>
  </si>
  <si>
    <t>R49sam_mean</t>
  </si>
  <si>
    <t>R48sam_wg</t>
  </si>
  <si>
    <t>R48wg_sd</t>
  </si>
  <si>
    <t>R48wg_mean</t>
  </si>
  <si>
    <t>R48sam_sd</t>
  </si>
  <si>
    <t>R48sam_mean</t>
  </si>
  <si>
    <t>R47sam_wg</t>
  </si>
  <si>
    <t>R47wg_sd</t>
  </si>
  <si>
    <t>R47wg_mean</t>
  </si>
  <si>
    <t>R47sam_sd</t>
  </si>
  <si>
    <t>R47sam_mean</t>
  </si>
  <si>
    <t>R46sam_wg</t>
  </si>
  <si>
    <t>R46wg_sd</t>
  </si>
  <si>
    <t>R46wg_mean</t>
  </si>
  <si>
    <t>R46sam_sd</t>
  </si>
  <si>
    <t>R46sam_mean</t>
  </si>
  <si>
    <t>R45sam_wg</t>
  </si>
  <si>
    <t>R45wg_sd</t>
  </si>
  <si>
    <t>R45wg_mean</t>
  </si>
  <si>
    <t>R45sam_sd</t>
  </si>
  <si>
    <t>R45sam_mean</t>
  </si>
  <si>
    <t>D49pval</t>
  </si>
  <si>
    <t>D49r2</t>
  </si>
  <si>
    <t>D49slope</t>
  </si>
  <si>
    <t>D49n</t>
  </si>
  <si>
    <t>D49sd</t>
  </si>
  <si>
    <t>D49</t>
  </si>
  <si>
    <t>d49pval</t>
  </si>
  <si>
    <t>d49r2</t>
  </si>
  <si>
    <t>d49slope</t>
  </si>
  <si>
    <t>d49n</t>
  </si>
  <si>
    <t>d49sd</t>
  </si>
  <si>
    <t>d49</t>
  </si>
  <si>
    <t>D48pval</t>
  </si>
  <si>
    <t>D48r2</t>
  </si>
  <si>
    <t>D48slope</t>
  </si>
  <si>
    <t>D48n</t>
  </si>
  <si>
    <t>D48sd</t>
  </si>
  <si>
    <t>D48</t>
  </si>
  <si>
    <t>d48pval</t>
  </si>
  <si>
    <t>d48r2</t>
  </si>
  <si>
    <t>d48slope</t>
  </si>
  <si>
    <t>d48n</t>
  </si>
  <si>
    <t>d48sd</t>
  </si>
  <si>
    <t>d48</t>
  </si>
  <si>
    <t>D47pval</t>
  </si>
  <si>
    <t>D47r2</t>
  </si>
  <si>
    <t>D47slope</t>
  </si>
  <si>
    <t>D47n</t>
  </si>
  <si>
    <t>D47sd</t>
  </si>
  <si>
    <t>D47</t>
  </si>
  <si>
    <t>d47pval</t>
  </si>
  <si>
    <t>d47r2</t>
  </si>
  <si>
    <t>d47slope</t>
  </si>
  <si>
    <t>d47n</t>
  </si>
  <si>
    <t>d47sd</t>
  </si>
  <si>
    <t>d47</t>
  </si>
  <si>
    <t>d46pval</t>
  </si>
  <si>
    <t>d46r2</t>
  </si>
  <si>
    <t>d46slope</t>
  </si>
  <si>
    <t>d46n</t>
  </si>
  <si>
    <t>d46sd</t>
  </si>
  <si>
    <t>d46</t>
  </si>
  <si>
    <t>d45pval</t>
  </si>
  <si>
    <t>d45r2</t>
  </si>
  <si>
    <t>d45slope</t>
  </si>
  <si>
    <t>d45n</t>
  </si>
  <si>
    <t>d45sd</t>
  </si>
  <si>
    <t>d45</t>
  </si>
  <si>
    <t>d18Opval</t>
  </si>
  <si>
    <t>d18Or2</t>
  </si>
  <si>
    <t>d18Oslope</t>
  </si>
  <si>
    <t>d18On</t>
  </si>
  <si>
    <t>d18Osd</t>
  </si>
  <si>
    <t>d18O</t>
  </si>
  <si>
    <t>d13Cpval</t>
  </si>
  <si>
    <t>d13Cr2</t>
  </si>
  <si>
    <t>d13Cslope</t>
  </si>
  <si>
    <t>d13Cn</t>
  </si>
  <si>
    <t>d13Csd</t>
  </si>
  <si>
    <t>d13C</t>
  </si>
  <si>
    <t>comment</t>
  </si>
  <si>
    <t>flag</t>
  </si>
  <si>
    <t>type</t>
  </si>
  <si>
    <t>Sample_Name</t>
  </si>
  <si>
    <t>UID</t>
  </si>
  <si>
    <t>one value</t>
  </si>
  <si>
    <t>*</t>
  </si>
  <si>
    <t>outliers included</t>
  </si>
  <si>
    <t>T ster</t>
  </si>
  <si>
    <t>T stdev</t>
  </si>
  <si>
    <t>avg temp</t>
  </si>
  <si>
    <t>D48 ster</t>
  </si>
  <si>
    <t>D48 stdev</t>
  </si>
  <si>
    <t>avg D48</t>
  </si>
  <si>
    <t>D47 ster</t>
  </si>
  <si>
    <t>D47 stdev</t>
  </si>
  <si>
    <t>avg D47</t>
  </si>
  <si>
    <t>d18o ster</t>
  </si>
  <si>
    <t>d18o stdev</t>
  </si>
  <si>
    <t>avg d180</t>
  </si>
  <si>
    <t>d13c ster</t>
  </si>
  <si>
    <t>d13c stdev</t>
  </si>
  <si>
    <t>avg d13c</t>
  </si>
  <si>
    <t>outliers removed</t>
  </si>
  <si>
    <t>T SE</t>
  </si>
  <si>
    <t>Avg T</t>
  </si>
  <si>
    <t>d18O SE</t>
  </si>
  <si>
    <t>Height</t>
  </si>
  <si>
    <t>Age</t>
  </si>
  <si>
    <t>Outliers Included</t>
  </si>
  <si>
    <t>Outliers Removed</t>
  </si>
  <si>
    <t>UT - UNM</t>
  </si>
  <si>
    <t>Difference UNM-UW</t>
  </si>
  <si>
    <t>Difference UT-UW</t>
  </si>
  <si>
    <t>UNM d18O</t>
  </si>
  <si>
    <t>UT d18O</t>
  </si>
  <si>
    <t>Avg d18O UW</t>
  </si>
  <si>
    <t>8515A_3</t>
  </si>
  <si>
    <t>8515A_2</t>
  </si>
  <si>
    <t>8460C_3</t>
  </si>
  <si>
    <t>7170B_5</t>
  </si>
  <si>
    <t xml:space="preserve">; residual gas high; minimum balance is outside of threshold +/- 1.0; </t>
  </si>
  <si>
    <t>6690F_5</t>
  </si>
  <si>
    <t>5020A_4</t>
  </si>
  <si>
    <t>3670E_3</t>
  </si>
  <si>
    <t>3670E_2</t>
  </si>
  <si>
    <t>3670E_1</t>
  </si>
  <si>
    <t>2520B_5</t>
  </si>
  <si>
    <t>2520B_4</t>
  </si>
  <si>
    <t>2210D_4</t>
  </si>
  <si>
    <t>2210D_3</t>
  </si>
  <si>
    <t>1650A_5</t>
  </si>
  <si>
    <t>; residual gas high; very large d46 trend</t>
  </si>
  <si>
    <t>1650A_4</t>
  </si>
  <si>
    <t>1530E_4</t>
  </si>
  <si>
    <t>1530E_3</t>
  </si>
  <si>
    <t xml:space="preserve">reprocess_all; </t>
  </si>
  <si>
    <t>psi.R - v2024.01.16; psi_calibrate.R - v2024.01.17</t>
  </si>
  <si>
    <t>keep 2</t>
  </si>
  <si>
    <t>keep 3</t>
  </si>
  <si>
    <t>keep 4</t>
  </si>
  <si>
    <t>good sample</t>
  </si>
  <si>
    <t>great sample</t>
  </si>
  <si>
    <t xml:space="preserve">6690F_5 - fits well here might be mislabeled </t>
  </si>
  <si>
    <t xml:space="preserve"> </t>
  </si>
  <si>
    <t>calculate the summer/winter/avg temps based on iberia</t>
  </si>
  <si>
    <t xml:space="preserve">TEST </t>
  </si>
  <si>
    <r>
      <t>∆</t>
    </r>
    <r>
      <rPr>
        <vertAlign val="superscript"/>
        <sz val="11"/>
        <color rgb="FF000000"/>
        <rFont val="Calibri"/>
        <family val="2"/>
        <scheme val="minor"/>
      </rPr>
      <t>17'</t>
    </r>
    <r>
      <rPr>
        <sz val="11"/>
        <color rgb="FF000000"/>
        <rFont val="Calibri"/>
        <family val="2"/>
        <scheme val="minor"/>
      </rPr>
      <t>O</t>
    </r>
    <r>
      <rPr>
        <vertAlign val="subscript"/>
        <sz val="11"/>
        <color rgb="FF000000"/>
        <rFont val="Calibri"/>
        <family val="2"/>
        <scheme val="minor"/>
      </rPr>
      <t>sw</t>
    </r>
  </si>
  <si>
    <r>
      <t>δ</t>
    </r>
    <r>
      <rPr>
        <vertAlign val="superscript"/>
        <sz val="11"/>
        <color rgb="FF000000"/>
        <rFont val="Calibri"/>
        <family val="2"/>
        <scheme val="minor"/>
      </rPr>
      <t>18</t>
    </r>
    <r>
      <rPr>
        <sz val="11"/>
        <color rgb="FF000000"/>
        <rFont val="Calibri"/>
        <family val="2"/>
        <scheme val="minor"/>
      </rPr>
      <t>O</t>
    </r>
    <r>
      <rPr>
        <vertAlign val="subscript"/>
        <sz val="11"/>
        <color rgb="FF000000"/>
        <rFont val="Calibri"/>
        <family val="2"/>
        <scheme val="minor"/>
      </rPr>
      <t>sw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</si>
</sst>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0.00000"/>
    <numFmt numFmtId="167" formatCode="0.000"/>
  </numFmts>
  <fonts count="3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Times New Roman"/>
      <family val="1"/>
    </font>
    <font>
      <b/>
      <sz val="11"/>
      <color theme="1"/>
      <name val="Times New Roman"/>
      <family val="1"/>
    </font>
    <font>
      <b/>
      <sz val="11"/>
      <color rgb="FFFF0000"/>
      <name val="Times New Roman"/>
      <family val="1"/>
    </font>
    <font>
      <b/>
      <sz val="11"/>
      <color rgb="FF00B050"/>
      <name val="Times New Roman"/>
      <family val="1"/>
    </font>
    <font>
      <sz val="11"/>
      <color theme="1"/>
      <name val="Times New Roman"/>
      <family val="1"/>
    </font>
    <font>
      <b/>
      <sz val="11"/>
      <color theme="1"/>
      <name val="Times New Roman"/>
      <family val="1"/>
    </font>
    <font>
      <b/>
      <sz val="11"/>
      <name val="Times New Roman"/>
      <family val="1"/>
    </font>
    <font>
      <sz val="11"/>
      <color rgb="FFFF0000"/>
      <name val="Times New Roman"/>
      <family val="1"/>
    </font>
    <font>
      <b/>
      <sz val="11"/>
      <color rgb="FF00B0F0"/>
      <name val="Times New Roman"/>
      <family val="1"/>
    </font>
    <font>
      <b/>
      <sz val="11"/>
      <color rgb="FF000000"/>
      <name val="Times New Roman"/>
      <family val="1"/>
    </font>
    <font>
      <sz val="8"/>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rgb="FF00B0F0"/>
      <name val="Calibri"/>
      <family val="2"/>
      <scheme val="minor"/>
    </font>
    <font>
      <sz val="11"/>
      <color rgb="FF000000"/>
      <name val="Times New Roman"/>
      <family val="1"/>
    </font>
    <font>
      <sz val="12"/>
      <color rgb="FFFF0000"/>
      <name val="Calibri"/>
      <family val="2"/>
      <scheme val="minor"/>
    </font>
    <font>
      <b/>
      <sz val="12"/>
      <color theme="1"/>
      <name val="Calibri"/>
      <family val="2"/>
      <scheme val="minor"/>
    </font>
    <font>
      <sz val="11"/>
      <color rgb="FFFF0000"/>
      <name val="Calibri"/>
      <family val="2"/>
      <scheme val="minor"/>
    </font>
    <font>
      <sz val="12"/>
      <color theme="4"/>
      <name val="Calibri"/>
      <family val="2"/>
      <scheme val="minor"/>
    </font>
    <font>
      <sz val="12"/>
      <color theme="5"/>
      <name val="Calibri"/>
      <family val="2"/>
      <scheme val="minor"/>
    </font>
    <font>
      <sz val="11"/>
      <color rgb="FF000000"/>
      <name val="Calibri"/>
      <family val="2"/>
      <charset val="134"/>
    </font>
    <font>
      <sz val="11"/>
      <color theme="4"/>
      <name val="Calibri"/>
      <family val="2"/>
      <scheme val="minor"/>
    </font>
    <font>
      <vertAlign val="superscript"/>
      <sz val="11"/>
      <color rgb="FF000000"/>
      <name val="Calibri"/>
      <family val="2"/>
      <scheme val="minor"/>
    </font>
    <font>
      <vertAlign val="subscript"/>
      <sz val="11"/>
      <color rgb="FF000000"/>
      <name val="Calibri"/>
      <family val="2"/>
      <scheme val="minor"/>
    </font>
  </fonts>
  <fills count="33">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theme="8" tint="0.79998168889431442"/>
        <bgColor indexed="64"/>
      </patternFill>
    </fill>
    <fill>
      <patternFill patternType="solid">
        <fgColor rgb="FFC6E0B4"/>
        <bgColor rgb="FF000000"/>
      </patternFill>
    </fill>
    <fill>
      <patternFill patternType="solid">
        <fgColor theme="5" tint="0.59999389629810485"/>
        <bgColor indexed="64"/>
      </patternFill>
    </fill>
    <fill>
      <patternFill patternType="solid">
        <fgColor theme="9"/>
        <bgColor indexed="64"/>
      </patternFill>
    </fill>
    <fill>
      <patternFill patternType="solid">
        <fgColor theme="7"/>
        <bgColor indexed="64"/>
      </patternFill>
    </fill>
    <fill>
      <patternFill patternType="solid">
        <fgColor rgb="FF7030A0"/>
        <bgColor indexed="64"/>
      </patternFill>
    </fill>
    <fill>
      <patternFill patternType="solid">
        <fgColor rgb="FFFF00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FDFF"/>
        <bgColor indexed="64"/>
      </patternFill>
    </fill>
    <fill>
      <patternFill patternType="solid">
        <fgColor rgb="FFFF40FF"/>
        <bgColor indexed="64"/>
      </patternFill>
    </fill>
    <fill>
      <patternFill patternType="solid">
        <fgColor rgb="FFFFFC00"/>
        <bgColor indexed="64"/>
      </patternFill>
    </fill>
    <fill>
      <patternFill patternType="solid">
        <fgColor rgb="FFFF8AD8"/>
        <bgColor indexed="64"/>
      </patternFill>
    </fill>
    <fill>
      <patternFill patternType="solid">
        <fgColor rgb="FFEFC3BA"/>
        <bgColor indexed="64"/>
      </patternFill>
    </fill>
    <fill>
      <patternFill patternType="solid">
        <fgColor theme="9" tint="0.79998168889431442"/>
        <bgColor indexed="64"/>
      </patternFill>
    </fill>
    <fill>
      <patternFill patternType="solid">
        <fgColor rgb="FFCBF2EF"/>
        <bgColor indexed="64"/>
      </patternFill>
    </fill>
    <fill>
      <patternFill patternType="solid">
        <fgColor rgb="FFD5B2EE"/>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8">
    <border>
      <left/>
      <right/>
      <top/>
      <bottom/>
      <diagonal/>
    </border>
    <border>
      <left/>
      <right/>
      <top/>
      <bottom style="medium">
        <color rgb="FF000000"/>
      </bottom>
      <diagonal/>
    </border>
    <border>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3">
    <xf numFmtId="0" fontId="0" fillId="0" borderId="0"/>
    <xf numFmtId="0" fontId="7" fillId="0" borderId="0"/>
    <xf numFmtId="0" fontId="5" fillId="0" borderId="0"/>
  </cellStyleXfs>
  <cellXfs count="574">
    <xf numFmtId="0" fontId="0" fillId="0" borderId="0" xfId="0"/>
    <xf numFmtId="0" fontId="9" fillId="0" borderId="1" xfId="0" applyFont="1" applyBorder="1" applyAlignment="1">
      <alignment horizontal="center" vertical="center"/>
    </xf>
    <xf numFmtId="0" fontId="8" fillId="6" borderId="0" xfId="0" applyFont="1" applyFill="1" applyAlignment="1">
      <alignment horizontal="center"/>
    </xf>
    <xf numFmtId="165" fontId="11" fillId="6" borderId="0" xfId="0" applyNumberFormat="1" applyFont="1" applyFill="1" applyAlignment="1">
      <alignment horizontal="center"/>
    </xf>
    <xf numFmtId="0" fontId="8" fillId="6" borderId="0" xfId="0" applyFont="1" applyFill="1" applyAlignment="1">
      <alignment horizontal="left"/>
    </xf>
    <xf numFmtId="0" fontId="8" fillId="5" borderId="0" xfId="0" applyFont="1" applyFill="1" applyAlignment="1">
      <alignment horizontal="center"/>
    </xf>
    <xf numFmtId="0" fontId="9" fillId="0" borderId="0" xfId="0" applyFont="1" applyAlignment="1">
      <alignment horizontal="center" vertical="center"/>
    </xf>
    <xf numFmtId="0" fontId="20" fillId="0" borderId="0" xfId="1" applyFont="1" applyAlignment="1">
      <alignment horizontal="center"/>
    </xf>
    <xf numFmtId="14" fontId="21" fillId="0" borderId="0" xfId="1" applyNumberFormat="1" applyFont="1" applyAlignment="1">
      <alignment horizontal="center"/>
    </xf>
    <xf numFmtId="0" fontId="7" fillId="0" borderId="0" xfId="1"/>
    <xf numFmtId="2" fontId="7" fillId="0" borderId="0" xfId="1" applyNumberFormat="1"/>
    <xf numFmtId="166" fontId="7" fillId="0" borderId="0" xfId="1" applyNumberFormat="1"/>
    <xf numFmtId="0" fontId="21" fillId="0" borderId="0" xfId="1" applyFont="1" applyAlignment="1">
      <alignment horizontal="center"/>
    </xf>
    <xf numFmtId="2" fontId="21" fillId="0" borderId="0" xfId="1" applyNumberFormat="1" applyFont="1" applyAlignment="1">
      <alignment horizontal="center"/>
    </xf>
    <xf numFmtId="0" fontId="19" fillId="0" borderId="0" xfId="1" applyFont="1" applyAlignment="1">
      <alignment horizontal="center"/>
    </xf>
    <xf numFmtId="0" fontId="9" fillId="0" borderId="3" xfId="1" applyFont="1" applyBorder="1" applyAlignment="1">
      <alignment horizontal="center"/>
    </xf>
    <xf numFmtId="167" fontId="9" fillId="0" borderId="3" xfId="1" applyNumberFormat="1" applyFont="1" applyBorder="1" applyAlignment="1">
      <alignment horizontal="center"/>
    </xf>
    <xf numFmtId="2" fontId="9" fillId="0" borderId="3" xfId="1" applyNumberFormat="1" applyFont="1" applyBorder="1" applyAlignment="1">
      <alignment horizontal="center"/>
    </xf>
    <xf numFmtId="165" fontId="11" fillId="0" borderId="3" xfId="1" applyNumberFormat="1" applyFont="1" applyBorder="1" applyAlignment="1">
      <alignment horizontal="center"/>
    </xf>
    <xf numFmtId="166" fontId="22" fillId="0" borderId="3" xfId="1" applyNumberFormat="1" applyFont="1" applyBorder="1" applyAlignment="1">
      <alignment horizontal="center"/>
    </xf>
    <xf numFmtId="166" fontId="9" fillId="0" borderId="3" xfId="1" applyNumberFormat="1" applyFont="1" applyBorder="1" applyAlignment="1">
      <alignment horizontal="center"/>
    </xf>
    <xf numFmtId="0" fontId="8" fillId="0" borderId="3" xfId="1" applyFont="1" applyBorder="1" applyAlignment="1">
      <alignment horizontal="center"/>
    </xf>
    <xf numFmtId="14" fontId="8" fillId="6" borderId="0" xfId="1" applyNumberFormat="1" applyFont="1" applyFill="1" applyAlignment="1">
      <alignment horizontal="center"/>
    </xf>
    <xf numFmtId="0" fontId="8" fillId="6" borderId="0" xfId="1" applyFont="1" applyFill="1" applyAlignment="1">
      <alignment horizontal="center"/>
    </xf>
    <xf numFmtId="167" fontId="8" fillId="6" borderId="0" xfId="1" applyNumberFormat="1" applyFont="1" applyFill="1" applyAlignment="1">
      <alignment horizontal="center"/>
    </xf>
    <xf numFmtId="20" fontId="8" fillId="6" borderId="0" xfId="1" applyNumberFormat="1" applyFont="1" applyFill="1" applyAlignment="1">
      <alignment horizontal="center"/>
    </xf>
    <xf numFmtId="2" fontId="8" fillId="6" borderId="0" xfId="1" applyNumberFormat="1" applyFont="1" applyFill="1" applyAlignment="1">
      <alignment horizontal="center"/>
    </xf>
    <xf numFmtId="165" fontId="11" fillId="6" borderId="0" xfId="1" applyNumberFormat="1" applyFont="1" applyFill="1" applyAlignment="1">
      <alignment horizontal="center"/>
    </xf>
    <xf numFmtId="0" fontId="8" fillId="0" borderId="0" xfId="1" applyFont="1" applyAlignment="1">
      <alignment horizontal="center"/>
    </xf>
    <xf numFmtId="14" fontId="8" fillId="5" borderId="0" xfId="1" applyNumberFormat="1" applyFont="1" applyFill="1" applyAlignment="1">
      <alignment horizontal="center"/>
    </xf>
    <xf numFmtId="0" fontId="8" fillId="5" borderId="0" xfId="1" applyFont="1" applyFill="1" applyAlignment="1">
      <alignment horizontal="center"/>
    </xf>
    <xf numFmtId="167" fontId="8" fillId="5" borderId="0" xfId="1" applyNumberFormat="1" applyFont="1" applyFill="1" applyAlignment="1">
      <alignment horizontal="center"/>
    </xf>
    <xf numFmtId="20" fontId="8" fillId="5" borderId="0" xfId="1" applyNumberFormat="1" applyFont="1" applyFill="1" applyAlignment="1">
      <alignment horizontal="center"/>
    </xf>
    <xf numFmtId="2" fontId="8" fillId="5" borderId="0" xfId="1" applyNumberFormat="1" applyFont="1" applyFill="1" applyAlignment="1">
      <alignment horizontal="center"/>
    </xf>
    <xf numFmtId="165" fontId="11" fillId="5" borderId="0" xfId="1" applyNumberFormat="1" applyFont="1" applyFill="1" applyAlignment="1">
      <alignment horizontal="center"/>
    </xf>
    <xf numFmtId="165" fontId="8" fillId="0" borderId="0" xfId="1" applyNumberFormat="1" applyFont="1" applyAlignment="1">
      <alignment horizontal="center"/>
    </xf>
    <xf numFmtId="165" fontId="11" fillId="0" borderId="0" xfId="1" applyNumberFormat="1" applyFont="1" applyAlignment="1">
      <alignment horizontal="center"/>
    </xf>
    <xf numFmtId="166" fontId="11" fillId="0" borderId="0" xfId="1" applyNumberFormat="1" applyFont="1" applyAlignment="1">
      <alignment horizontal="center"/>
    </xf>
    <xf numFmtId="14" fontId="19" fillId="9" borderId="0" xfId="1" applyNumberFormat="1" applyFont="1" applyFill="1" applyAlignment="1">
      <alignment horizontal="center"/>
    </xf>
    <xf numFmtId="20" fontId="19" fillId="9" borderId="0" xfId="1" applyNumberFormat="1" applyFont="1" applyFill="1" applyAlignment="1">
      <alignment horizontal="center"/>
    </xf>
    <xf numFmtId="166" fontId="22" fillId="9" borderId="0" xfId="1" applyNumberFormat="1" applyFont="1" applyFill="1" applyAlignment="1">
      <alignment horizontal="center"/>
    </xf>
    <xf numFmtId="0" fontId="9" fillId="0" borderId="3" xfId="1" applyFont="1" applyBorder="1" applyAlignment="1">
      <alignment horizontal="left"/>
    </xf>
    <xf numFmtId="0" fontId="8" fillId="6" borderId="0" xfId="1" applyFont="1" applyFill="1" applyAlignment="1">
      <alignment horizontal="left"/>
    </xf>
    <xf numFmtId="0" fontId="8" fillId="5" borderId="0" xfId="1" applyFont="1" applyFill="1" applyAlignment="1">
      <alignment horizontal="left"/>
    </xf>
    <xf numFmtId="2" fontId="8" fillId="6" borderId="0" xfId="1" applyNumberFormat="1" applyFont="1" applyFill="1" applyAlignment="1">
      <alignment horizontal="left"/>
    </xf>
    <xf numFmtId="0" fontId="7" fillId="0" borderId="0" xfId="1" applyAlignment="1">
      <alignment horizontal="left"/>
    </xf>
    <xf numFmtId="14" fontId="12" fillId="0" borderId="0" xfId="0" applyNumberFormat="1" applyFont="1" applyAlignment="1">
      <alignment horizontal="center" vertical="center"/>
    </xf>
    <xf numFmtId="0" fontId="8" fillId="0" borderId="0" xfId="0" applyFont="1" applyAlignment="1">
      <alignment horizontal="center" vertical="center"/>
    </xf>
    <xf numFmtId="167" fontId="8" fillId="0" borderId="0" xfId="0" applyNumberFormat="1" applyFont="1" applyAlignment="1">
      <alignment horizontal="center" vertical="center"/>
    </xf>
    <xf numFmtId="2" fontId="8" fillId="0" borderId="0" xfId="0" applyNumberFormat="1" applyFont="1" applyAlignment="1">
      <alignment horizontal="center" vertical="center"/>
    </xf>
    <xf numFmtId="165" fontId="8" fillId="0" borderId="0" xfId="0" applyNumberFormat="1" applyFont="1" applyAlignment="1">
      <alignment horizontal="center" vertical="center"/>
    </xf>
    <xf numFmtId="166" fontId="8" fillId="0" borderId="0" xfId="0" applyNumberFormat="1" applyFont="1" applyAlignment="1">
      <alignment horizontal="center" vertical="center"/>
    </xf>
    <xf numFmtId="0" fontId="12" fillId="0" borderId="0" xfId="0" applyFont="1" applyAlignment="1">
      <alignment horizontal="center" vertical="center"/>
    </xf>
    <xf numFmtId="0" fontId="9" fillId="0" borderId="2" xfId="0" applyFont="1" applyBorder="1" applyAlignment="1">
      <alignment horizontal="center" vertical="center"/>
    </xf>
    <xf numFmtId="167" fontId="9" fillId="0" borderId="2" xfId="0" applyNumberFormat="1" applyFont="1" applyBorder="1" applyAlignment="1">
      <alignment horizontal="center" vertical="center"/>
    </xf>
    <xf numFmtId="2" fontId="9" fillId="0" borderId="2" xfId="0" applyNumberFormat="1" applyFont="1" applyBorder="1" applyAlignment="1">
      <alignment horizontal="center" vertical="center"/>
    </xf>
    <xf numFmtId="165" fontId="9" fillId="0" borderId="2" xfId="0" applyNumberFormat="1" applyFont="1" applyBorder="1" applyAlignment="1">
      <alignment horizontal="center" vertical="center"/>
    </xf>
    <xf numFmtId="0" fontId="17" fillId="0" borderId="2" xfId="0" applyFont="1" applyBorder="1" applyAlignment="1">
      <alignment horizontal="center" vertical="center"/>
    </xf>
    <xf numFmtId="0" fontId="11" fillId="0" borderId="2" xfId="0" applyFont="1" applyBorder="1" applyAlignment="1">
      <alignment horizontal="center" vertical="center"/>
    </xf>
    <xf numFmtId="166" fontId="16" fillId="0" borderId="2" xfId="0" applyNumberFormat="1" applyFont="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14" fontId="8" fillId="0" borderId="0" xfId="0" applyNumberFormat="1" applyFont="1" applyAlignment="1">
      <alignment horizontal="center" vertical="center"/>
    </xf>
    <xf numFmtId="165" fontId="11" fillId="0" borderId="0" xfId="0" applyNumberFormat="1" applyFont="1" applyAlignment="1">
      <alignment horizontal="center" vertical="center"/>
    </xf>
    <xf numFmtId="166" fontId="16" fillId="0" borderId="0" xfId="0" applyNumberFormat="1" applyFont="1" applyAlignment="1">
      <alignment horizontal="center" vertical="center"/>
    </xf>
    <xf numFmtId="165" fontId="14" fillId="0" borderId="0" xfId="0" applyNumberFormat="1" applyFont="1" applyAlignment="1">
      <alignment horizontal="center" vertical="center"/>
    </xf>
    <xf numFmtId="165" fontId="9" fillId="0" borderId="0" xfId="0" applyNumberFormat="1" applyFont="1" applyAlignment="1">
      <alignment horizontal="center" vertical="center"/>
    </xf>
    <xf numFmtId="20" fontId="8" fillId="0" borderId="0" xfId="0" applyNumberFormat="1" applyFont="1" applyAlignment="1">
      <alignment horizontal="center" vertical="center"/>
    </xf>
    <xf numFmtId="0" fontId="15" fillId="0" borderId="0" xfId="0" applyFont="1" applyAlignment="1">
      <alignment horizontal="center" vertical="center"/>
    </xf>
    <xf numFmtId="14" fontId="15" fillId="0" borderId="0" xfId="0" applyNumberFormat="1" applyFont="1" applyAlignment="1">
      <alignment horizontal="center" vertical="center"/>
    </xf>
    <xf numFmtId="167" fontId="15" fillId="0" borderId="0" xfId="0" applyNumberFormat="1" applyFont="1" applyAlignment="1">
      <alignment horizontal="center" vertical="center"/>
    </xf>
    <xf numFmtId="20" fontId="15" fillId="0" borderId="0" xfId="0" applyNumberFormat="1" applyFont="1" applyAlignment="1">
      <alignment horizontal="center" vertical="center"/>
    </xf>
    <xf numFmtId="2" fontId="15" fillId="0" borderId="0" xfId="0" applyNumberFormat="1" applyFont="1" applyAlignment="1">
      <alignment horizontal="center" vertical="center"/>
    </xf>
    <xf numFmtId="0" fontId="10" fillId="0" borderId="0" xfId="0" applyFont="1" applyAlignment="1">
      <alignment horizontal="center" vertical="center"/>
    </xf>
    <xf numFmtId="167" fontId="12" fillId="0" borderId="0" xfId="0" applyNumberFormat="1" applyFont="1" applyAlignment="1">
      <alignment horizontal="center" vertical="center"/>
    </xf>
    <xf numFmtId="0" fontId="11" fillId="0" borderId="0" xfId="0" applyFont="1" applyAlignment="1">
      <alignment horizontal="center" vertical="center"/>
    </xf>
    <xf numFmtId="2" fontId="12" fillId="0" borderId="0" xfId="0" applyNumberFormat="1" applyFont="1" applyAlignment="1">
      <alignment horizontal="center" vertical="center"/>
    </xf>
    <xf numFmtId="165" fontId="12" fillId="0" borderId="0" xfId="0" applyNumberFormat="1" applyFont="1" applyAlignment="1">
      <alignment horizontal="center" vertical="center"/>
    </xf>
    <xf numFmtId="166" fontId="12" fillId="0" borderId="0" xfId="0" applyNumberFormat="1" applyFont="1" applyAlignment="1">
      <alignment horizontal="center" vertical="center"/>
    </xf>
    <xf numFmtId="0" fontId="9" fillId="2" borderId="0" xfId="0" applyFont="1" applyFill="1" applyAlignment="1">
      <alignment horizontal="center" vertical="center"/>
    </xf>
    <xf numFmtId="167" fontId="9" fillId="2" borderId="0" xfId="0" applyNumberFormat="1" applyFont="1" applyFill="1" applyAlignment="1">
      <alignment horizontal="center" vertical="center"/>
    </xf>
    <xf numFmtId="2" fontId="9" fillId="2" borderId="0" xfId="0" applyNumberFormat="1" applyFont="1" applyFill="1" applyAlignment="1">
      <alignment horizontal="center" vertical="center"/>
    </xf>
    <xf numFmtId="165" fontId="9" fillId="2" borderId="0" xfId="0" applyNumberFormat="1" applyFont="1" applyFill="1" applyAlignment="1">
      <alignment horizontal="center" vertical="center"/>
    </xf>
    <xf numFmtId="165" fontId="9" fillId="4" borderId="0" xfId="0" applyNumberFormat="1" applyFont="1" applyFill="1" applyAlignment="1">
      <alignment horizontal="center" vertical="center"/>
    </xf>
    <xf numFmtId="166" fontId="9" fillId="3" borderId="0" xfId="0" applyNumberFormat="1" applyFont="1" applyFill="1" applyAlignment="1">
      <alignment horizontal="center" vertical="center"/>
    </xf>
    <xf numFmtId="0" fontId="13" fillId="0" borderId="0" xfId="0" applyFont="1" applyAlignment="1">
      <alignment horizontal="center" vertical="center"/>
    </xf>
    <xf numFmtId="164" fontId="9" fillId="2" borderId="0" xfId="0" applyNumberFormat="1" applyFont="1" applyFill="1" applyAlignment="1">
      <alignment horizontal="center" vertical="center"/>
    </xf>
    <xf numFmtId="164" fontId="14" fillId="2" borderId="0" xfId="0" applyNumberFormat="1" applyFont="1" applyFill="1" applyAlignment="1">
      <alignment horizontal="center" vertical="center"/>
    </xf>
    <xf numFmtId="14" fontId="9" fillId="0" borderId="2" xfId="0" applyNumberFormat="1" applyFont="1" applyBorder="1" applyAlignment="1">
      <alignment horizontal="center" vertical="center"/>
    </xf>
    <xf numFmtId="166" fontId="9" fillId="0" borderId="0" xfId="0" applyNumberFormat="1" applyFont="1" applyAlignment="1">
      <alignment horizontal="center" vertical="center"/>
    </xf>
    <xf numFmtId="165" fontId="11" fillId="0" borderId="1" xfId="0" applyNumberFormat="1" applyFont="1" applyBorder="1" applyAlignment="1">
      <alignment horizontal="center" vertical="center"/>
    </xf>
    <xf numFmtId="166" fontId="11" fillId="0" borderId="1" xfId="0" applyNumberFormat="1" applyFont="1" applyBorder="1" applyAlignment="1">
      <alignment horizontal="center" vertical="center"/>
    </xf>
    <xf numFmtId="166" fontId="9" fillId="0" borderId="2" xfId="0" applyNumberFormat="1" applyFont="1" applyBorder="1" applyAlignment="1">
      <alignment horizontal="center" vertical="center"/>
    </xf>
    <xf numFmtId="166" fontId="11" fillId="0" borderId="0" xfId="0" applyNumberFormat="1" applyFont="1" applyAlignment="1">
      <alignment horizontal="center" vertical="center"/>
    </xf>
    <xf numFmtId="0" fontId="8" fillId="8" borderId="0" xfId="0" applyFont="1" applyFill="1" applyAlignment="1">
      <alignment horizontal="center" vertical="center"/>
    </xf>
    <xf numFmtId="0" fontId="12" fillId="8" borderId="0" xfId="0" applyFont="1" applyFill="1" applyAlignment="1">
      <alignment horizontal="center" vertical="center"/>
    </xf>
    <xf numFmtId="2" fontId="8" fillId="8" borderId="0" xfId="0" applyNumberFormat="1" applyFont="1" applyFill="1" applyAlignment="1">
      <alignment horizontal="center" vertical="center"/>
    </xf>
    <xf numFmtId="165" fontId="11" fillId="8" borderId="0" xfId="0" applyNumberFormat="1" applyFont="1" applyFill="1" applyAlignment="1">
      <alignment horizontal="center" vertical="center"/>
    </xf>
    <xf numFmtId="165" fontId="8" fillId="8" borderId="0" xfId="0" applyNumberFormat="1" applyFont="1" applyFill="1" applyAlignment="1">
      <alignment horizontal="center" vertical="center"/>
    </xf>
    <xf numFmtId="166" fontId="11" fillId="8" borderId="0" xfId="0" applyNumberFormat="1" applyFont="1" applyFill="1" applyAlignment="1">
      <alignment horizontal="center" vertical="center"/>
    </xf>
    <xf numFmtId="0" fontId="8" fillId="6" borderId="0" xfId="0" applyFont="1" applyFill="1" applyAlignment="1">
      <alignment horizontal="center" vertical="center"/>
    </xf>
    <xf numFmtId="0" fontId="12" fillId="6" borderId="0" xfId="0" applyFont="1" applyFill="1" applyAlignment="1">
      <alignment horizontal="center" vertical="center"/>
    </xf>
    <xf numFmtId="2" fontId="12" fillId="6" borderId="0" xfId="0" applyNumberFormat="1" applyFont="1" applyFill="1" applyAlignment="1">
      <alignment horizontal="center" vertical="center"/>
    </xf>
    <xf numFmtId="2" fontId="8" fillId="6" borderId="0" xfId="0" applyNumberFormat="1" applyFont="1" applyFill="1" applyAlignment="1">
      <alignment horizontal="center" vertical="center"/>
    </xf>
    <xf numFmtId="165" fontId="11" fillId="6" borderId="0" xfId="0" applyNumberFormat="1" applyFont="1" applyFill="1" applyAlignment="1">
      <alignment horizontal="center" vertical="center"/>
    </xf>
    <xf numFmtId="165" fontId="8" fillId="6" borderId="0" xfId="0" applyNumberFormat="1" applyFont="1" applyFill="1" applyAlignment="1">
      <alignment horizontal="center" vertical="center"/>
    </xf>
    <xf numFmtId="166" fontId="11" fillId="6" borderId="0" xfId="0" applyNumberFormat="1" applyFont="1" applyFill="1" applyAlignment="1">
      <alignment horizontal="center" vertical="center"/>
    </xf>
    <xf numFmtId="167" fontId="8" fillId="6" borderId="0" xfId="0" applyNumberFormat="1" applyFont="1" applyFill="1" applyAlignment="1">
      <alignment horizontal="center" vertical="center"/>
    </xf>
    <xf numFmtId="20" fontId="8" fillId="6" borderId="0" xfId="0" applyNumberFormat="1" applyFont="1" applyFill="1" applyAlignment="1">
      <alignment horizontal="center" vertical="center"/>
    </xf>
    <xf numFmtId="14" fontId="8" fillId="7" borderId="0" xfId="0" applyNumberFormat="1" applyFont="1" applyFill="1" applyAlignment="1">
      <alignment horizontal="center" vertical="center"/>
    </xf>
    <xf numFmtId="0" fontId="8" fillId="7" borderId="0" xfId="0" applyFont="1" applyFill="1" applyAlignment="1">
      <alignment horizontal="center" vertical="center"/>
    </xf>
    <xf numFmtId="167" fontId="8" fillId="7" borderId="0" xfId="0" applyNumberFormat="1" applyFont="1" applyFill="1" applyAlignment="1">
      <alignment horizontal="center" vertical="center"/>
    </xf>
    <xf numFmtId="2" fontId="8" fillId="7" borderId="0" xfId="0" applyNumberFormat="1" applyFont="1" applyFill="1" applyAlignment="1">
      <alignment horizontal="center" vertical="center"/>
    </xf>
    <xf numFmtId="165" fontId="11" fillId="7" borderId="0" xfId="0" applyNumberFormat="1" applyFont="1" applyFill="1" applyAlignment="1">
      <alignment horizontal="center" vertical="center"/>
    </xf>
    <xf numFmtId="165" fontId="8" fillId="7" borderId="0" xfId="0" applyNumberFormat="1" applyFont="1" applyFill="1" applyAlignment="1">
      <alignment horizontal="center" vertical="center"/>
    </xf>
    <xf numFmtId="166" fontId="11" fillId="7" borderId="0" xfId="0" applyNumberFormat="1" applyFont="1" applyFill="1" applyAlignment="1">
      <alignment horizontal="center" vertical="center"/>
    </xf>
    <xf numFmtId="14" fontId="8" fillId="8" borderId="0" xfId="0" applyNumberFormat="1" applyFont="1" applyFill="1" applyAlignment="1">
      <alignment horizontal="center" vertical="center"/>
    </xf>
    <xf numFmtId="167" fontId="8" fillId="8" borderId="0" xfId="0" applyNumberFormat="1" applyFont="1" applyFill="1" applyAlignment="1">
      <alignment horizontal="center" vertical="center"/>
    </xf>
    <xf numFmtId="166" fontId="8" fillId="6" borderId="0" xfId="0" applyNumberFormat="1" applyFont="1" applyFill="1" applyAlignment="1">
      <alignment horizontal="center" vertical="center"/>
    </xf>
    <xf numFmtId="0" fontId="8" fillId="5" borderId="0" xfId="0" applyFont="1" applyFill="1" applyAlignment="1">
      <alignment horizontal="center" vertical="center"/>
    </xf>
    <xf numFmtId="167" fontId="8" fillId="5" borderId="0" xfId="0" applyNumberFormat="1" applyFont="1" applyFill="1" applyAlignment="1">
      <alignment horizontal="center" vertical="center"/>
    </xf>
    <xf numFmtId="2" fontId="8" fillId="5" borderId="0" xfId="0" applyNumberFormat="1" applyFont="1" applyFill="1" applyAlignment="1">
      <alignment horizontal="center" vertical="center"/>
    </xf>
    <xf numFmtId="165" fontId="11" fillId="5" borderId="0" xfId="0" applyNumberFormat="1" applyFont="1" applyFill="1" applyAlignment="1">
      <alignment horizontal="center" vertical="center"/>
    </xf>
    <xf numFmtId="165" fontId="8" fillId="5" borderId="0" xfId="0" applyNumberFormat="1" applyFont="1" applyFill="1" applyAlignment="1">
      <alignment horizontal="center" vertical="center"/>
    </xf>
    <xf numFmtId="166" fontId="11" fillId="5" borderId="0" xfId="0" applyNumberFormat="1" applyFont="1" applyFill="1" applyAlignment="1">
      <alignment horizontal="center" vertical="center"/>
    </xf>
    <xf numFmtId="0" fontId="12" fillId="5" borderId="0" xfId="0" applyFont="1" applyFill="1" applyAlignment="1">
      <alignment horizontal="center" vertical="center"/>
    </xf>
    <xf numFmtId="166" fontId="8" fillId="8" borderId="0" xfId="0" applyNumberFormat="1" applyFont="1" applyFill="1" applyAlignment="1">
      <alignment horizontal="center" vertical="center"/>
    </xf>
    <xf numFmtId="20" fontId="8" fillId="8" borderId="0" xfId="0" applyNumberFormat="1" applyFont="1" applyFill="1" applyAlignment="1">
      <alignment horizontal="center" vertical="center"/>
    </xf>
    <xf numFmtId="167" fontId="0" fillId="8" borderId="0" xfId="0" applyNumberFormat="1" applyFill="1" applyAlignment="1">
      <alignment horizontal="center" vertical="center"/>
    </xf>
    <xf numFmtId="14" fontId="8" fillId="6" borderId="0" xfId="0" applyNumberFormat="1" applyFont="1" applyFill="1" applyAlignment="1">
      <alignment horizontal="center" vertical="center"/>
    </xf>
    <xf numFmtId="20" fontId="8" fillId="5" borderId="0" xfId="0" applyNumberFormat="1" applyFont="1" applyFill="1" applyAlignment="1">
      <alignment horizontal="center" vertical="center"/>
    </xf>
    <xf numFmtId="0" fontId="6" fillId="0" borderId="0" xfId="1" applyFont="1"/>
    <xf numFmtId="0" fontId="8" fillId="5" borderId="0" xfId="0" applyFont="1" applyFill="1" applyAlignment="1">
      <alignment horizontal="left" vertical="center"/>
    </xf>
    <xf numFmtId="20" fontId="23" fillId="10" borderId="0" xfId="0" applyNumberFormat="1" applyFont="1" applyFill="1" applyAlignment="1">
      <alignment horizontal="center"/>
    </xf>
    <xf numFmtId="0" fontId="8" fillId="0" borderId="0" xfId="0" applyFont="1" applyAlignment="1">
      <alignment horizontal="left" vertical="center"/>
    </xf>
    <xf numFmtId="2" fontId="11" fillId="0" borderId="0" xfId="1" applyNumberFormat="1" applyFont="1" applyAlignment="1">
      <alignment horizontal="center"/>
    </xf>
    <xf numFmtId="166" fontId="8" fillId="0" borderId="0" xfId="0" applyNumberFormat="1" applyFont="1" applyAlignment="1">
      <alignment horizontal="left" vertical="center"/>
    </xf>
    <xf numFmtId="0" fontId="8" fillId="6" borderId="0" xfId="0" applyFont="1" applyFill="1" applyAlignment="1">
      <alignment horizontal="left" vertical="center"/>
    </xf>
    <xf numFmtId="0" fontId="0" fillId="6" borderId="0" xfId="0" applyFill="1" applyAlignment="1">
      <alignment horizontal="center"/>
    </xf>
    <xf numFmtId="0" fontId="7" fillId="5" borderId="0" xfId="1" applyFill="1"/>
    <xf numFmtId="0" fontId="7" fillId="6" borderId="0" xfId="1" applyFill="1"/>
    <xf numFmtId="14" fontId="8" fillId="0" borderId="3" xfId="1" applyNumberFormat="1" applyFont="1" applyBorder="1" applyAlignment="1">
      <alignment horizontal="center"/>
    </xf>
    <xf numFmtId="2" fontId="8" fillId="0" borderId="0" xfId="1" applyNumberFormat="1" applyFont="1" applyAlignment="1">
      <alignment horizontal="center"/>
    </xf>
    <xf numFmtId="0" fontId="8" fillId="11" borderId="0" xfId="0" applyFont="1" applyFill="1" applyAlignment="1">
      <alignment horizontal="center" vertical="center"/>
    </xf>
    <xf numFmtId="14" fontId="8" fillId="11" borderId="0" xfId="0" applyNumberFormat="1" applyFont="1" applyFill="1" applyAlignment="1">
      <alignment horizontal="center" vertical="center"/>
    </xf>
    <xf numFmtId="0" fontId="12" fillId="11" borderId="0" xfId="0" applyFont="1" applyFill="1" applyAlignment="1">
      <alignment horizontal="center" vertical="center"/>
    </xf>
    <xf numFmtId="165" fontId="11" fillId="11" borderId="0" xfId="0" applyNumberFormat="1" applyFont="1" applyFill="1" applyAlignment="1">
      <alignment horizontal="center" vertical="center"/>
    </xf>
    <xf numFmtId="165" fontId="8" fillId="11" borderId="0" xfId="0" applyNumberFormat="1" applyFont="1" applyFill="1" applyAlignment="1">
      <alignment horizontal="center" vertical="center"/>
    </xf>
    <xf numFmtId="166" fontId="11" fillId="11" borderId="0" xfId="0" applyNumberFormat="1" applyFont="1" applyFill="1" applyAlignment="1">
      <alignment horizontal="center" vertical="center"/>
    </xf>
    <xf numFmtId="14" fontId="9" fillId="0" borderId="0" xfId="0" applyNumberFormat="1" applyFont="1" applyAlignment="1">
      <alignment horizontal="center" vertical="center"/>
    </xf>
    <xf numFmtId="164" fontId="8" fillId="0" borderId="0" xfId="0" applyNumberFormat="1" applyFont="1" applyAlignment="1">
      <alignment horizontal="center" vertical="center"/>
    </xf>
    <xf numFmtId="164" fontId="8" fillId="8" borderId="0" xfId="0" applyNumberFormat="1" applyFont="1" applyFill="1" applyAlignment="1">
      <alignment horizontal="center" vertical="center"/>
    </xf>
    <xf numFmtId="164" fontId="8" fillId="6" borderId="0" xfId="0" applyNumberFormat="1" applyFont="1" applyFill="1" applyAlignment="1">
      <alignment horizontal="center" vertical="center"/>
    </xf>
    <xf numFmtId="164" fontId="8" fillId="7" borderId="0" xfId="0" applyNumberFormat="1" applyFont="1" applyFill="1" applyAlignment="1">
      <alignment horizontal="center" vertical="center"/>
    </xf>
    <xf numFmtId="14" fontId="8" fillId="5" borderId="0" xfId="0" applyNumberFormat="1" applyFont="1" applyFill="1" applyAlignment="1">
      <alignment horizontal="center" vertical="center"/>
    </xf>
    <xf numFmtId="164" fontId="8" fillId="5" borderId="0" xfId="0" applyNumberFormat="1" applyFont="1" applyFill="1" applyAlignment="1">
      <alignment horizontal="center" vertical="center"/>
    </xf>
    <xf numFmtId="167" fontId="8" fillId="11" borderId="0" xfId="0" applyNumberFormat="1" applyFont="1" applyFill="1" applyAlignment="1">
      <alignment horizontal="center" vertical="center"/>
    </xf>
    <xf numFmtId="20" fontId="8" fillId="11" borderId="0" xfId="0" applyNumberFormat="1" applyFont="1" applyFill="1" applyAlignment="1">
      <alignment horizontal="center" vertical="center"/>
    </xf>
    <xf numFmtId="2" fontId="8" fillId="11" borderId="0" xfId="0" applyNumberFormat="1" applyFont="1" applyFill="1" applyAlignment="1">
      <alignment horizontal="center" vertical="center"/>
    </xf>
    <xf numFmtId="164" fontId="8" fillId="11" borderId="0" xfId="0" applyNumberFormat="1" applyFont="1" applyFill="1" applyAlignment="1">
      <alignment horizontal="center" vertical="center"/>
    </xf>
    <xf numFmtId="14" fontId="8" fillId="6" borderId="0" xfId="0" applyNumberFormat="1" applyFont="1" applyFill="1" applyAlignment="1">
      <alignment horizontal="center"/>
    </xf>
    <xf numFmtId="167" fontId="8" fillId="6" borderId="0" xfId="0" applyNumberFormat="1" applyFont="1" applyFill="1" applyAlignment="1">
      <alignment horizontal="center"/>
    </xf>
    <xf numFmtId="20" fontId="8" fillId="6" borderId="0" xfId="0" applyNumberFormat="1" applyFont="1" applyFill="1" applyAlignment="1">
      <alignment horizontal="center"/>
    </xf>
    <xf numFmtId="2" fontId="8" fillId="6" borderId="0" xfId="0" applyNumberFormat="1" applyFont="1" applyFill="1" applyAlignment="1">
      <alignment horizontal="center"/>
    </xf>
    <xf numFmtId="0" fontId="0" fillId="0" borderId="0" xfId="0" applyAlignment="1">
      <alignment horizontal="center"/>
    </xf>
    <xf numFmtId="0" fontId="0" fillId="0" borderId="0" xfId="0" applyAlignment="1">
      <alignment horizontal="center" vertical="center"/>
    </xf>
    <xf numFmtId="2" fontId="8" fillId="12" borderId="0" xfId="1" applyNumberFormat="1" applyFont="1" applyFill="1" applyAlignment="1">
      <alignment horizontal="center"/>
    </xf>
    <xf numFmtId="0" fontId="8" fillId="12" borderId="0" xfId="1" applyFont="1" applyFill="1" applyAlignment="1">
      <alignment horizontal="left"/>
    </xf>
    <xf numFmtId="14" fontId="8" fillId="12" borderId="0" xfId="1" applyNumberFormat="1" applyFont="1" applyFill="1" applyAlignment="1">
      <alignment horizontal="center"/>
    </xf>
    <xf numFmtId="0" fontId="8" fillId="12" borderId="0" xfId="1" applyFont="1" applyFill="1" applyAlignment="1">
      <alignment horizontal="center"/>
    </xf>
    <xf numFmtId="167" fontId="8" fillId="12" borderId="0" xfId="1" applyNumberFormat="1" applyFont="1" applyFill="1" applyAlignment="1">
      <alignment horizontal="center"/>
    </xf>
    <xf numFmtId="20" fontId="8" fillId="12" borderId="0" xfId="1" applyNumberFormat="1" applyFont="1" applyFill="1" applyAlignment="1">
      <alignment horizontal="center"/>
    </xf>
    <xf numFmtId="165" fontId="11" fillId="12" borderId="0" xfId="1" applyNumberFormat="1" applyFont="1" applyFill="1" applyAlignment="1">
      <alignment horizontal="center"/>
    </xf>
    <xf numFmtId="165" fontId="8" fillId="12" borderId="0" xfId="1" applyNumberFormat="1" applyFont="1" applyFill="1" applyAlignment="1">
      <alignment horizontal="center"/>
    </xf>
    <xf numFmtId="2" fontId="7" fillId="12" borderId="0" xfId="1" applyNumberFormat="1" applyFill="1"/>
    <xf numFmtId="166" fontId="7" fillId="12" borderId="0" xfId="1" applyNumberFormat="1" applyFill="1"/>
    <xf numFmtId="0" fontId="7" fillId="12" borderId="0" xfId="1" applyFill="1"/>
    <xf numFmtId="2" fontId="8" fillId="8" borderId="0" xfId="1" applyNumberFormat="1" applyFont="1" applyFill="1" applyAlignment="1">
      <alignment horizontal="center"/>
    </xf>
    <xf numFmtId="0" fontId="8" fillId="8" borderId="0" xfId="1" applyFont="1" applyFill="1" applyAlignment="1">
      <alignment horizontal="left"/>
    </xf>
    <xf numFmtId="14" fontId="8" fillId="8" borderId="0" xfId="1" applyNumberFormat="1" applyFont="1" applyFill="1" applyAlignment="1">
      <alignment horizontal="center"/>
    </xf>
    <xf numFmtId="0" fontId="8" fillId="8" borderId="0" xfId="1" applyFont="1" applyFill="1" applyAlignment="1">
      <alignment horizontal="center"/>
    </xf>
    <xf numFmtId="167" fontId="8" fillId="8" borderId="0" xfId="1" applyNumberFormat="1" applyFont="1" applyFill="1" applyAlignment="1">
      <alignment horizontal="center"/>
    </xf>
    <xf numFmtId="20" fontId="8" fillId="8" borderId="0" xfId="1" applyNumberFormat="1" applyFont="1" applyFill="1" applyAlignment="1">
      <alignment horizontal="center"/>
    </xf>
    <xf numFmtId="165" fontId="11" fillId="8" borderId="0" xfId="1" applyNumberFormat="1" applyFont="1" applyFill="1" applyAlignment="1">
      <alignment horizontal="center"/>
    </xf>
    <xf numFmtId="165" fontId="8" fillId="8" borderId="0" xfId="1" applyNumberFormat="1" applyFont="1" applyFill="1" applyAlignment="1">
      <alignment horizontal="center"/>
    </xf>
    <xf numFmtId="2" fontId="7" fillId="8" borderId="0" xfId="1" applyNumberFormat="1" applyFill="1"/>
    <xf numFmtId="166" fontId="7" fillId="8" borderId="0" xfId="1" applyNumberFormat="1" applyFill="1"/>
    <xf numFmtId="0" fontId="7" fillId="8" borderId="0" xfId="1" applyFill="1"/>
    <xf numFmtId="2" fontId="8" fillId="13" borderId="0" xfId="1" applyNumberFormat="1" applyFont="1" applyFill="1" applyAlignment="1">
      <alignment horizontal="center"/>
    </xf>
    <xf numFmtId="0" fontId="8" fillId="13" borderId="0" xfId="1" applyFont="1" applyFill="1" applyAlignment="1">
      <alignment horizontal="left"/>
    </xf>
    <xf numFmtId="14" fontId="8" fillId="13" borderId="0" xfId="1" applyNumberFormat="1" applyFont="1" applyFill="1" applyAlignment="1">
      <alignment horizontal="center"/>
    </xf>
    <xf numFmtId="0" fontId="8" fillId="13" borderId="0" xfId="1" applyFont="1" applyFill="1" applyAlignment="1">
      <alignment horizontal="center"/>
    </xf>
    <xf numFmtId="167" fontId="8" fillId="13" borderId="0" xfId="1" applyNumberFormat="1" applyFont="1" applyFill="1" applyAlignment="1">
      <alignment horizontal="center"/>
    </xf>
    <xf numFmtId="20" fontId="8" fillId="13" borderId="0" xfId="1" applyNumberFormat="1" applyFont="1" applyFill="1" applyAlignment="1">
      <alignment horizontal="center"/>
    </xf>
    <xf numFmtId="165" fontId="11" fillId="13" borderId="0" xfId="1" applyNumberFormat="1" applyFont="1" applyFill="1" applyAlignment="1">
      <alignment horizontal="center"/>
    </xf>
    <xf numFmtId="165" fontId="8" fillId="13" borderId="0" xfId="1" applyNumberFormat="1" applyFont="1" applyFill="1" applyAlignment="1">
      <alignment horizontal="center"/>
    </xf>
    <xf numFmtId="2" fontId="7" fillId="13" borderId="0" xfId="1" applyNumberFormat="1" applyFill="1"/>
    <xf numFmtId="166" fontId="7" fillId="13" borderId="0" xfId="1" applyNumberFormat="1" applyFill="1"/>
    <xf numFmtId="0" fontId="7" fillId="13" borderId="0" xfId="1" applyFill="1"/>
    <xf numFmtId="0" fontId="8" fillId="13" borderId="0" xfId="0" applyFont="1" applyFill="1" applyAlignment="1">
      <alignment horizontal="center" vertical="center"/>
    </xf>
    <xf numFmtId="14" fontId="8" fillId="13" borderId="0" xfId="0" applyNumberFormat="1" applyFont="1" applyFill="1" applyAlignment="1">
      <alignment horizontal="center" vertical="center"/>
    </xf>
    <xf numFmtId="167" fontId="8" fillId="13" borderId="0" xfId="0" applyNumberFormat="1" applyFont="1" applyFill="1" applyAlignment="1">
      <alignment horizontal="center" vertical="center"/>
    </xf>
    <xf numFmtId="20" fontId="8" fillId="13" borderId="0" xfId="0" applyNumberFormat="1" applyFont="1" applyFill="1" applyAlignment="1">
      <alignment horizontal="center" vertical="center"/>
    </xf>
    <xf numFmtId="2" fontId="8" fillId="13" borderId="0" xfId="0" applyNumberFormat="1" applyFont="1" applyFill="1" applyAlignment="1">
      <alignment horizontal="center" vertical="center"/>
    </xf>
    <xf numFmtId="165" fontId="11" fillId="13" borderId="0" xfId="0" applyNumberFormat="1" applyFont="1" applyFill="1" applyAlignment="1">
      <alignment horizontal="center" vertical="center"/>
    </xf>
    <xf numFmtId="2" fontId="8" fillId="14" borderId="0" xfId="1" applyNumberFormat="1" applyFont="1" applyFill="1" applyAlignment="1">
      <alignment horizontal="center"/>
    </xf>
    <xf numFmtId="0" fontId="8" fillId="14" borderId="0" xfId="1" applyFont="1" applyFill="1" applyAlignment="1">
      <alignment horizontal="left"/>
    </xf>
    <xf numFmtId="14" fontId="8" fillId="14" borderId="0" xfId="1" applyNumberFormat="1" applyFont="1" applyFill="1" applyAlignment="1">
      <alignment horizontal="center"/>
    </xf>
    <xf numFmtId="0" fontId="8" fillId="14" borderId="0" xfId="1" applyFont="1" applyFill="1" applyAlignment="1">
      <alignment horizontal="center"/>
    </xf>
    <xf numFmtId="167" fontId="8" fillId="14" borderId="0" xfId="1" applyNumberFormat="1" applyFont="1" applyFill="1" applyAlignment="1">
      <alignment horizontal="center"/>
    </xf>
    <xf numFmtId="20" fontId="8" fillId="14" borderId="0" xfId="1" applyNumberFormat="1" applyFont="1" applyFill="1" applyAlignment="1">
      <alignment horizontal="center"/>
    </xf>
    <xf numFmtId="165" fontId="11" fillId="14" borderId="0" xfId="1" applyNumberFormat="1" applyFont="1" applyFill="1" applyAlignment="1">
      <alignment horizontal="center"/>
    </xf>
    <xf numFmtId="165" fontId="8" fillId="14" borderId="0" xfId="1" applyNumberFormat="1" applyFont="1" applyFill="1" applyAlignment="1">
      <alignment horizontal="center"/>
    </xf>
    <xf numFmtId="2" fontId="7" fillId="14" borderId="0" xfId="1" applyNumberFormat="1" applyFill="1"/>
    <xf numFmtId="166" fontId="7" fillId="14" borderId="0" xfId="1" applyNumberFormat="1" applyFill="1"/>
    <xf numFmtId="0" fontId="7" fillId="14" borderId="0" xfId="1" applyFill="1"/>
    <xf numFmtId="2" fontId="8" fillId="15" borderId="0" xfId="1" applyNumberFormat="1" applyFont="1" applyFill="1" applyAlignment="1">
      <alignment horizontal="center"/>
    </xf>
    <xf numFmtId="0" fontId="8" fillId="15" borderId="0" xfId="1" applyFont="1" applyFill="1" applyAlignment="1">
      <alignment horizontal="left"/>
    </xf>
    <xf numFmtId="14" fontId="8" fillId="15" borderId="0" xfId="1" applyNumberFormat="1" applyFont="1" applyFill="1" applyAlignment="1">
      <alignment horizontal="center"/>
    </xf>
    <xf numFmtId="0" fontId="8" fillId="15" borderId="0" xfId="1" applyFont="1" applyFill="1" applyAlignment="1">
      <alignment horizontal="center"/>
    </xf>
    <xf numFmtId="167" fontId="8" fillId="15" borderId="0" xfId="1" applyNumberFormat="1" applyFont="1" applyFill="1" applyAlignment="1">
      <alignment horizontal="center"/>
    </xf>
    <xf numFmtId="20" fontId="8" fillId="15" borderId="0" xfId="1" applyNumberFormat="1" applyFont="1" applyFill="1" applyAlignment="1">
      <alignment horizontal="center"/>
    </xf>
    <xf numFmtId="165" fontId="11" fillId="15" borderId="0" xfId="1" applyNumberFormat="1" applyFont="1" applyFill="1" applyAlignment="1">
      <alignment horizontal="center"/>
    </xf>
    <xf numFmtId="165" fontId="8" fillId="15" borderId="0" xfId="1" applyNumberFormat="1" applyFont="1" applyFill="1" applyAlignment="1">
      <alignment horizontal="center"/>
    </xf>
    <xf numFmtId="2" fontId="7" fillId="15" borderId="0" xfId="1" applyNumberFormat="1" applyFill="1"/>
    <xf numFmtId="166" fontId="7" fillId="15" borderId="0" xfId="1" applyNumberFormat="1" applyFill="1"/>
    <xf numFmtId="0" fontId="7" fillId="15" borderId="0" xfId="1" applyFill="1"/>
    <xf numFmtId="0" fontId="6" fillId="15" borderId="0" xfId="1" applyFont="1" applyFill="1"/>
    <xf numFmtId="2" fontId="8" fillId="16" borderId="0" xfId="1" applyNumberFormat="1" applyFont="1" applyFill="1" applyAlignment="1">
      <alignment horizontal="center"/>
    </xf>
    <xf numFmtId="0" fontId="8" fillId="16" borderId="0" xfId="1" applyFont="1" applyFill="1" applyAlignment="1">
      <alignment horizontal="left"/>
    </xf>
    <xf numFmtId="14" fontId="8" fillId="16" borderId="0" xfId="1" applyNumberFormat="1" applyFont="1" applyFill="1" applyAlignment="1">
      <alignment horizontal="center"/>
    </xf>
    <xf numFmtId="0" fontId="8" fillId="16" borderId="0" xfId="1" applyFont="1" applyFill="1" applyAlignment="1">
      <alignment horizontal="center"/>
    </xf>
    <xf numFmtId="167" fontId="8" fillId="16" borderId="0" xfId="1" applyNumberFormat="1" applyFont="1" applyFill="1" applyAlignment="1">
      <alignment horizontal="center"/>
    </xf>
    <xf numFmtId="20" fontId="8" fillId="16" borderId="0" xfId="1" applyNumberFormat="1" applyFont="1" applyFill="1" applyAlignment="1">
      <alignment horizontal="center"/>
    </xf>
    <xf numFmtId="165" fontId="11" fillId="16" borderId="0" xfId="1" applyNumberFormat="1" applyFont="1" applyFill="1" applyAlignment="1">
      <alignment horizontal="center"/>
    </xf>
    <xf numFmtId="165" fontId="8" fillId="16" borderId="0" xfId="1" applyNumberFormat="1" applyFont="1" applyFill="1" applyAlignment="1">
      <alignment horizontal="center"/>
    </xf>
    <xf numFmtId="2" fontId="7" fillId="16" borderId="0" xfId="1" applyNumberFormat="1" applyFill="1"/>
    <xf numFmtId="166" fontId="7" fillId="16" borderId="0" xfId="1" applyNumberFormat="1" applyFill="1"/>
    <xf numFmtId="0" fontId="7" fillId="16" borderId="0" xfId="1" applyFill="1"/>
    <xf numFmtId="0" fontId="8" fillId="16" borderId="0" xfId="0" applyFont="1" applyFill="1" applyAlignment="1">
      <alignment horizontal="left"/>
    </xf>
    <xf numFmtId="14" fontId="8" fillId="16" borderId="0" xfId="0" applyNumberFormat="1" applyFont="1" applyFill="1" applyAlignment="1">
      <alignment horizontal="center"/>
    </xf>
    <xf numFmtId="0" fontId="8" fillId="16" borderId="0" xfId="0" applyFont="1" applyFill="1" applyAlignment="1">
      <alignment horizontal="center"/>
    </xf>
    <xf numFmtId="167" fontId="8" fillId="16" borderId="0" xfId="0" applyNumberFormat="1" applyFont="1" applyFill="1" applyAlignment="1">
      <alignment horizontal="center"/>
    </xf>
    <xf numFmtId="20" fontId="8" fillId="16" borderId="0" xfId="0" applyNumberFormat="1" applyFont="1" applyFill="1" applyAlignment="1">
      <alignment horizontal="center"/>
    </xf>
    <xf numFmtId="2" fontId="8" fillId="16" borderId="0" xfId="0" applyNumberFormat="1" applyFont="1" applyFill="1" applyAlignment="1">
      <alignment horizontal="center"/>
    </xf>
    <xf numFmtId="165" fontId="11" fillId="16" borderId="0" xfId="0" applyNumberFormat="1" applyFont="1" applyFill="1" applyAlignment="1">
      <alignment horizontal="center"/>
    </xf>
    <xf numFmtId="2" fontId="8" fillId="17" borderId="0" xfId="1" applyNumberFormat="1" applyFont="1" applyFill="1" applyAlignment="1">
      <alignment horizontal="center"/>
    </xf>
    <xf numFmtId="0" fontId="8" fillId="17" borderId="0" xfId="0" applyFont="1" applyFill="1" applyAlignment="1">
      <alignment horizontal="left"/>
    </xf>
    <xf numFmtId="14" fontId="8" fillId="17" borderId="0" xfId="0" applyNumberFormat="1" applyFont="1" applyFill="1" applyAlignment="1">
      <alignment horizontal="center"/>
    </xf>
    <xf numFmtId="0" fontId="8" fillId="17" borderId="0" xfId="0" applyFont="1" applyFill="1" applyAlignment="1">
      <alignment horizontal="center"/>
    </xf>
    <xf numFmtId="167" fontId="8" fillId="17" borderId="0" xfId="0" applyNumberFormat="1" applyFont="1" applyFill="1" applyAlignment="1">
      <alignment horizontal="center"/>
    </xf>
    <xf numFmtId="20" fontId="8" fillId="17" borderId="0" xfId="0" applyNumberFormat="1" applyFont="1" applyFill="1" applyAlignment="1">
      <alignment horizontal="center"/>
    </xf>
    <xf numFmtId="2" fontId="8" fillId="17" borderId="0" xfId="0" applyNumberFormat="1" applyFont="1" applyFill="1" applyAlignment="1">
      <alignment horizontal="center"/>
    </xf>
    <xf numFmtId="165" fontId="11" fillId="17" borderId="0" xfId="0" applyNumberFormat="1" applyFont="1" applyFill="1" applyAlignment="1">
      <alignment horizontal="center"/>
    </xf>
    <xf numFmtId="165" fontId="8" fillId="17" borderId="0" xfId="1" applyNumberFormat="1" applyFont="1" applyFill="1" applyAlignment="1">
      <alignment horizontal="center"/>
    </xf>
    <xf numFmtId="2" fontId="7" fillId="17" borderId="0" xfId="1" applyNumberFormat="1" applyFill="1"/>
    <xf numFmtId="166" fontId="7" fillId="17" borderId="0" xfId="1" applyNumberFormat="1" applyFill="1"/>
    <xf numFmtId="0" fontId="7" fillId="17" borderId="0" xfId="1" applyFill="1"/>
    <xf numFmtId="0" fontId="8" fillId="17" borderId="0" xfId="0" applyFont="1" applyFill="1" applyAlignment="1">
      <alignment horizontal="center" vertical="center"/>
    </xf>
    <xf numFmtId="14" fontId="8" fillId="17" borderId="0" xfId="0" applyNumberFormat="1" applyFont="1" applyFill="1" applyAlignment="1">
      <alignment horizontal="center" vertical="center"/>
    </xf>
    <xf numFmtId="167" fontId="8" fillId="17" borderId="0" xfId="0" applyNumberFormat="1" applyFont="1" applyFill="1" applyAlignment="1">
      <alignment horizontal="center" vertical="center"/>
    </xf>
    <xf numFmtId="20" fontId="8" fillId="17" borderId="0" xfId="0" applyNumberFormat="1" applyFont="1" applyFill="1" applyAlignment="1">
      <alignment horizontal="center" vertical="center"/>
    </xf>
    <xf numFmtId="2" fontId="8" fillId="17" borderId="0" xfId="0" applyNumberFormat="1" applyFont="1" applyFill="1" applyAlignment="1">
      <alignment horizontal="center" vertical="center"/>
    </xf>
    <xf numFmtId="165" fontId="11" fillId="17" borderId="0" xfId="0" applyNumberFormat="1" applyFont="1" applyFill="1" applyAlignment="1">
      <alignment horizontal="center" vertical="center"/>
    </xf>
    <xf numFmtId="2" fontId="8" fillId="18" borderId="0" xfId="1" applyNumberFormat="1" applyFont="1" applyFill="1" applyAlignment="1">
      <alignment horizontal="center"/>
    </xf>
    <xf numFmtId="0" fontId="8" fillId="18" borderId="0" xfId="0" applyFont="1" applyFill="1" applyAlignment="1">
      <alignment horizontal="left" vertical="center"/>
    </xf>
    <xf numFmtId="14" fontId="8" fillId="18" borderId="0" xfId="0" applyNumberFormat="1" applyFont="1" applyFill="1" applyAlignment="1">
      <alignment horizontal="center" vertical="center"/>
    </xf>
    <xf numFmtId="0" fontId="8" fillId="18" borderId="0" xfId="0" applyFont="1" applyFill="1" applyAlignment="1">
      <alignment horizontal="center" vertical="center"/>
    </xf>
    <xf numFmtId="167" fontId="8" fillId="18" borderId="0" xfId="0" applyNumberFormat="1" applyFont="1" applyFill="1" applyAlignment="1">
      <alignment horizontal="center" vertical="center"/>
    </xf>
    <xf numFmtId="20" fontId="8" fillId="18" borderId="0" xfId="0" applyNumberFormat="1" applyFont="1" applyFill="1" applyAlignment="1">
      <alignment horizontal="center" vertical="center"/>
    </xf>
    <xf numFmtId="2" fontId="8" fillId="18" borderId="0" xfId="0" applyNumberFormat="1" applyFont="1" applyFill="1" applyAlignment="1">
      <alignment horizontal="center" vertical="center"/>
    </xf>
    <xf numFmtId="165" fontId="11" fillId="18" borderId="0" xfId="0" applyNumberFormat="1" applyFont="1" applyFill="1" applyAlignment="1">
      <alignment horizontal="center" vertical="center"/>
    </xf>
    <xf numFmtId="165" fontId="8" fillId="18" borderId="0" xfId="1" applyNumberFormat="1" applyFont="1" applyFill="1" applyAlignment="1">
      <alignment horizontal="center"/>
    </xf>
    <xf numFmtId="2" fontId="7" fillId="18" borderId="0" xfId="1" applyNumberFormat="1" applyFill="1"/>
    <xf numFmtId="166" fontId="7" fillId="18" borderId="0" xfId="1" applyNumberFormat="1" applyFill="1"/>
    <xf numFmtId="0" fontId="7" fillId="18" borderId="0" xfId="1" applyFill="1"/>
    <xf numFmtId="0" fontId="0" fillId="18" borderId="0" xfId="0" applyFill="1" applyAlignment="1">
      <alignment horizontal="center"/>
    </xf>
    <xf numFmtId="2" fontId="8" fillId="19" borderId="0" xfId="1" applyNumberFormat="1" applyFont="1" applyFill="1" applyAlignment="1">
      <alignment horizontal="center"/>
    </xf>
    <xf numFmtId="0" fontId="8" fillId="19" borderId="0" xfId="1" applyFont="1" applyFill="1" applyAlignment="1">
      <alignment horizontal="left"/>
    </xf>
    <xf numFmtId="14" fontId="8" fillId="19" borderId="0" xfId="1" applyNumberFormat="1" applyFont="1" applyFill="1" applyAlignment="1">
      <alignment horizontal="center"/>
    </xf>
    <xf numFmtId="0" fontId="8" fillId="19" borderId="0" xfId="1" applyFont="1" applyFill="1" applyAlignment="1">
      <alignment horizontal="center"/>
    </xf>
    <xf numFmtId="167" fontId="8" fillId="19" borderId="0" xfId="1" applyNumberFormat="1" applyFont="1" applyFill="1" applyAlignment="1">
      <alignment horizontal="center"/>
    </xf>
    <xf numFmtId="20" fontId="8" fillId="19" borderId="0" xfId="1" applyNumberFormat="1" applyFont="1" applyFill="1" applyAlignment="1">
      <alignment horizontal="center"/>
    </xf>
    <xf numFmtId="165" fontId="11" fillId="19" borderId="0" xfId="1" applyNumberFormat="1" applyFont="1" applyFill="1" applyAlignment="1">
      <alignment horizontal="center"/>
    </xf>
    <xf numFmtId="165" fontId="8" fillId="19" borderId="0" xfId="1" applyNumberFormat="1" applyFont="1" applyFill="1" applyAlignment="1">
      <alignment horizontal="center"/>
    </xf>
    <xf numFmtId="2" fontId="7" fillId="19" borderId="0" xfId="1" applyNumberFormat="1" applyFill="1"/>
    <xf numFmtId="166" fontId="7" fillId="19" borderId="0" xfId="1" applyNumberFormat="1" applyFill="1"/>
    <xf numFmtId="0" fontId="7" fillId="19" borderId="0" xfId="1" applyFill="1"/>
    <xf numFmtId="0" fontId="8" fillId="19" borderId="0" xfId="0" applyFont="1" applyFill="1" applyAlignment="1">
      <alignment horizontal="center" vertical="center"/>
    </xf>
    <xf numFmtId="14" fontId="8" fillId="19" borderId="0" xfId="0" applyNumberFormat="1" applyFont="1" applyFill="1" applyAlignment="1">
      <alignment horizontal="center" vertical="center"/>
    </xf>
    <xf numFmtId="167" fontId="8" fillId="19" borderId="0" xfId="0" applyNumberFormat="1" applyFont="1" applyFill="1" applyAlignment="1">
      <alignment horizontal="center" vertical="center"/>
    </xf>
    <xf numFmtId="20" fontId="8" fillId="19" borderId="0" xfId="0" applyNumberFormat="1" applyFont="1" applyFill="1" applyAlignment="1">
      <alignment horizontal="center" vertical="center"/>
    </xf>
    <xf numFmtId="2" fontId="8" fillId="19" borderId="0" xfId="0" applyNumberFormat="1" applyFont="1" applyFill="1" applyAlignment="1">
      <alignment horizontal="center" vertical="center"/>
    </xf>
    <xf numFmtId="165" fontId="11" fillId="19" borderId="0" xfId="0" applyNumberFormat="1" applyFont="1" applyFill="1" applyAlignment="1">
      <alignment horizontal="center" vertical="center"/>
    </xf>
    <xf numFmtId="2" fontId="8" fillId="20" borderId="0" xfId="1" applyNumberFormat="1" applyFont="1" applyFill="1" applyAlignment="1">
      <alignment horizontal="center"/>
    </xf>
    <xf numFmtId="0" fontId="8" fillId="20" borderId="0" xfId="0" applyFont="1" applyFill="1" applyAlignment="1">
      <alignment horizontal="center" vertical="center"/>
    </xf>
    <xf numFmtId="14" fontId="8" fillId="20" borderId="0" xfId="0" applyNumberFormat="1" applyFont="1" applyFill="1" applyAlignment="1">
      <alignment horizontal="center" vertical="center"/>
    </xf>
    <xf numFmtId="167" fontId="8" fillId="20" borderId="0" xfId="0" applyNumberFormat="1" applyFont="1" applyFill="1" applyAlignment="1">
      <alignment horizontal="center" vertical="center"/>
    </xf>
    <xf numFmtId="20" fontId="8" fillId="20" borderId="0" xfId="0" applyNumberFormat="1" applyFont="1" applyFill="1" applyAlignment="1">
      <alignment horizontal="center" vertical="center"/>
    </xf>
    <xf numFmtId="2" fontId="8" fillId="20" borderId="0" xfId="0" applyNumberFormat="1" applyFont="1" applyFill="1" applyAlignment="1">
      <alignment horizontal="center" vertical="center"/>
    </xf>
    <xf numFmtId="165" fontId="11" fillId="20" borderId="0" xfId="0" applyNumberFormat="1" applyFont="1" applyFill="1" applyAlignment="1">
      <alignment horizontal="center" vertical="center"/>
    </xf>
    <xf numFmtId="165" fontId="8" fillId="20" borderId="0" xfId="1" applyNumberFormat="1" applyFont="1" applyFill="1" applyAlignment="1">
      <alignment horizontal="center"/>
    </xf>
    <xf numFmtId="2" fontId="7" fillId="20" borderId="0" xfId="1" applyNumberFormat="1" applyFill="1"/>
    <xf numFmtId="166" fontId="7" fillId="20" borderId="0" xfId="1" applyNumberFormat="1" applyFill="1"/>
    <xf numFmtId="0" fontId="7" fillId="20" borderId="0" xfId="1" applyFill="1"/>
    <xf numFmtId="2" fontId="8" fillId="21" borderId="0" xfId="1" applyNumberFormat="1" applyFont="1" applyFill="1" applyAlignment="1">
      <alignment horizontal="center"/>
    </xf>
    <xf numFmtId="0" fontId="8" fillId="21" borderId="0" xfId="0" applyFont="1" applyFill="1" applyAlignment="1">
      <alignment horizontal="center" vertical="center"/>
    </xf>
    <xf numFmtId="14" fontId="8" fillId="21" borderId="0" xfId="0" applyNumberFormat="1" applyFont="1" applyFill="1" applyAlignment="1">
      <alignment horizontal="center" vertical="center"/>
    </xf>
    <xf numFmtId="167" fontId="8" fillId="21" borderId="0" xfId="0" applyNumberFormat="1" applyFont="1" applyFill="1" applyAlignment="1">
      <alignment horizontal="center" vertical="center"/>
    </xf>
    <xf numFmtId="20" fontId="8" fillId="21" borderId="0" xfId="0" applyNumberFormat="1" applyFont="1" applyFill="1" applyAlignment="1">
      <alignment horizontal="center" vertical="center"/>
    </xf>
    <xf numFmtId="2" fontId="8" fillId="21" borderId="0" xfId="0" applyNumberFormat="1" applyFont="1" applyFill="1" applyAlignment="1">
      <alignment horizontal="center" vertical="center"/>
    </xf>
    <xf numFmtId="165" fontId="11" fillId="21" borderId="0" xfId="0" applyNumberFormat="1" applyFont="1" applyFill="1" applyAlignment="1">
      <alignment horizontal="center" vertical="center"/>
    </xf>
    <xf numFmtId="165" fontId="8" fillId="21" borderId="0" xfId="1" applyNumberFormat="1" applyFont="1" applyFill="1" applyAlignment="1">
      <alignment horizontal="center"/>
    </xf>
    <xf numFmtId="2" fontId="7" fillId="21" borderId="0" xfId="1" applyNumberFormat="1" applyFill="1"/>
    <xf numFmtId="166" fontId="7" fillId="21" borderId="0" xfId="1" applyNumberFormat="1" applyFill="1"/>
    <xf numFmtId="0" fontId="7" fillId="21" borderId="0" xfId="1" applyFill="1"/>
    <xf numFmtId="0" fontId="0" fillId="21" borderId="0" xfId="0" applyFill="1" applyAlignment="1">
      <alignment horizontal="center"/>
    </xf>
    <xf numFmtId="2" fontId="8" fillId="22" borderId="0" xfId="1" applyNumberFormat="1" applyFont="1" applyFill="1" applyAlignment="1">
      <alignment horizontal="center"/>
    </xf>
    <xf numFmtId="0" fontId="8" fillId="22" borderId="0" xfId="0" applyFont="1" applyFill="1" applyAlignment="1">
      <alignment horizontal="center" vertical="center"/>
    </xf>
    <xf numFmtId="14" fontId="8" fillId="22" borderId="0" xfId="0" applyNumberFormat="1" applyFont="1" applyFill="1" applyAlignment="1">
      <alignment horizontal="center" vertical="center"/>
    </xf>
    <xf numFmtId="167" fontId="8" fillId="22" borderId="0" xfId="0" applyNumberFormat="1" applyFont="1" applyFill="1" applyAlignment="1">
      <alignment horizontal="center" vertical="center"/>
    </xf>
    <xf numFmtId="20" fontId="8" fillId="22" borderId="0" xfId="0" applyNumberFormat="1" applyFont="1" applyFill="1" applyAlignment="1">
      <alignment horizontal="center" vertical="center"/>
    </xf>
    <xf numFmtId="2" fontId="8" fillId="22" borderId="0" xfId="0" applyNumberFormat="1" applyFont="1" applyFill="1" applyAlignment="1">
      <alignment horizontal="center" vertical="center"/>
    </xf>
    <xf numFmtId="165" fontId="11" fillId="22" borderId="0" xfId="0" applyNumberFormat="1" applyFont="1" applyFill="1" applyAlignment="1">
      <alignment horizontal="center" vertical="center"/>
    </xf>
    <xf numFmtId="165" fontId="8" fillId="22" borderId="0" xfId="1" applyNumberFormat="1" applyFont="1" applyFill="1" applyAlignment="1">
      <alignment horizontal="center"/>
    </xf>
    <xf numFmtId="2" fontId="7" fillId="22" borderId="0" xfId="1" applyNumberFormat="1" applyFill="1"/>
    <xf numFmtId="166" fontId="7" fillId="22" borderId="0" xfId="1" applyNumberFormat="1" applyFill="1"/>
    <xf numFmtId="0" fontId="7" fillId="22" borderId="0" xfId="1" applyFill="1"/>
    <xf numFmtId="2" fontId="8" fillId="23" borderId="0" xfId="1" applyNumberFormat="1" applyFont="1" applyFill="1" applyAlignment="1">
      <alignment horizontal="center"/>
    </xf>
    <xf numFmtId="0" fontId="8" fillId="23" borderId="0" xfId="0" applyFont="1" applyFill="1" applyAlignment="1">
      <alignment horizontal="center" vertical="center"/>
    </xf>
    <xf numFmtId="14" fontId="8" fillId="23" borderId="0" xfId="0" applyNumberFormat="1" applyFont="1" applyFill="1" applyAlignment="1">
      <alignment horizontal="center" vertical="center"/>
    </xf>
    <xf numFmtId="167" fontId="8" fillId="23" borderId="0" xfId="0" applyNumberFormat="1" applyFont="1" applyFill="1" applyAlignment="1">
      <alignment horizontal="center" vertical="center"/>
    </xf>
    <xf numFmtId="20" fontId="8" fillId="23" borderId="0" xfId="0" applyNumberFormat="1" applyFont="1" applyFill="1" applyAlignment="1">
      <alignment horizontal="center" vertical="center"/>
    </xf>
    <xf numFmtId="0" fontId="7" fillId="23" borderId="0" xfId="1" applyFill="1"/>
    <xf numFmtId="2" fontId="8" fillId="23" borderId="0" xfId="0" applyNumberFormat="1" applyFont="1" applyFill="1" applyAlignment="1">
      <alignment horizontal="center" vertical="center"/>
    </xf>
    <xf numFmtId="165" fontId="11" fillId="23" borderId="0" xfId="0" applyNumberFormat="1" applyFont="1" applyFill="1" applyAlignment="1">
      <alignment horizontal="center" vertical="center"/>
    </xf>
    <xf numFmtId="165" fontId="8" fillId="23" borderId="0" xfId="1" applyNumberFormat="1" applyFont="1" applyFill="1" applyAlignment="1">
      <alignment horizontal="center"/>
    </xf>
    <xf numFmtId="2" fontId="7" fillId="23" borderId="0" xfId="1" applyNumberFormat="1" applyFill="1"/>
    <xf numFmtId="166" fontId="7" fillId="23" borderId="0" xfId="1" applyNumberFormat="1" applyFill="1"/>
    <xf numFmtId="0" fontId="6" fillId="12" borderId="0" xfId="1" applyFont="1" applyFill="1"/>
    <xf numFmtId="0" fontId="11" fillId="0" borderId="5" xfId="1" applyFont="1" applyBorder="1" applyAlignment="1">
      <alignment horizontal="center"/>
    </xf>
    <xf numFmtId="2" fontId="11" fillId="0" borderId="7" xfId="1" applyNumberFormat="1" applyFont="1" applyBorder="1" applyAlignment="1">
      <alignment horizontal="center"/>
    </xf>
    <xf numFmtId="0" fontId="7" fillId="0" borderId="11" xfId="1" applyBorder="1"/>
    <xf numFmtId="2" fontId="7" fillId="0" borderId="12" xfId="1" applyNumberFormat="1" applyBorder="1"/>
    <xf numFmtId="166" fontId="11" fillId="0" borderId="4" xfId="1" applyNumberFormat="1" applyFont="1" applyBorder="1" applyAlignment="1">
      <alignment horizontal="center"/>
    </xf>
    <xf numFmtId="0" fontId="7" fillId="0" borderId="16" xfId="1" applyBorder="1"/>
    <xf numFmtId="0" fontId="7" fillId="0" borderId="17" xfId="1" applyBorder="1"/>
    <xf numFmtId="165" fontId="9" fillId="12" borderId="8" xfId="1" applyNumberFormat="1" applyFont="1" applyFill="1" applyBorder="1" applyAlignment="1">
      <alignment horizontal="center"/>
    </xf>
    <xf numFmtId="166" fontId="9" fillId="12" borderId="15" xfId="1" applyNumberFormat="1" applyFont="1" applyFill="1" applyBorder="1" applyAlignment="1">
      <alignment horizontal="center"/>
    </xf>
    <xf numFmtId="2" fontId="9" fillId="12" borderId="10" xfId="1" applyNumberFormat="1" applyFont="1" applyFill="1" applyBorder="1" applyAlignment="1">
      <alignment horizontal="center"/>
    </xf>
    <xf numFmtId="165" fontId="9" fillId="0" borderId="11" xfId="1" applyNumberFormat="1" applyFont="1" applyBorder="1" applyAlignment="1">
      <alignment horizontal="center"/>
    </xf>
    <xf numFmtId="166" fontId="9" fillId="0" borderId="16" xfId="1" applyNumberFormat="1" applyFont="1" applyBorder="1" applyAlignment="1">
      <alignment horizontal="center"/>
    </xf>
    <xf numFmtId="2" fontId="9" fillId="0" borderId="12" xfId="1" applyNumberFormat="1" applyFont="1" applyBorder="1" applyAlignment="1">
      <alignment horizontal="center"/>
    </xf>
    <xf numFmtId="165" fontId="9" fillId="8" borderId="5" xfId="1" applyNumberFormat="1" applyFont="1" applyFill="1" applyBorder="1" applyAlignment="1">
      <alignment horizontal="center"/>
    </xf>
    <xf numFmtId="166" fontId="9" fillId="8" borderId="4" xfId="1" applyNumberFormat="1" applyFont="1" applyFill="1" applyBorder="1" applyAlignment="1">
      <alignment horizontal="center"/>
    </xf>
    <xf numFmtId="2" fontId="9" fillId="8" borderId="7" xfId="1" applyNumberFormat="1" applyFont="1" applyFill="1" applyBorder="1" applyAlignment="1">
      <alignment horizontal="center"/>
    </xf>
    <xf numFmtId="165" fontId="9" fillId="13" borderId="5" xfId="1" applyNumberFormat="1" applyFont="1" applyFill="1" applyBorder="1" applyAlignment="1">
      <alignment horizontal="center"/>
    </xf>
    <xf numFmtId="166" fontId="9" fillId="13" borderId="4" xfId="1" applyNumberFormat="1" applyFont="1" applyFill="1" applyBorder="1" applyAlignment="1">
      <alignment horizontal="center"/>
    </xf>
    <xf numFmtId="2" fontId="9" fillId="13" borderId="7" xfId="1" applyNumberFormat="1" applyFont="1" applyFill="1" applyBorder="1" applyAlignment="1">
      <alignment horizontal="center"/>
    </xf>
    <xf numFmtId="165" fontId="9" fillId="14" borderId="5" xfId="1" applyNumberFormat="1" applyFont="1" applyFill="1" applyBorder="1" applyAlignment="1">
      <alignment horizontal="center"/>
    </xf>
    <xf numFmtId="166" fontId="9" fillId="14" borderId="4" xfId="1" applyNumberFormat="1" applyFont="1" applyFill="1" applyBorder="1" applyAlignment="1">
      <alignment horizontal="center"/>
    </xf>
    <xf numFmtId="2" fontId="9" fillId="14" borderId="7" xfId="1" applyNumberFormat="1" applyFont="1" applyFill="1" applyBorder="1" applyAlignment="1">
      <alignment horizontal="center"/>
    </xf>
    <xf numFmtId="165" fontId="9" fillId="14" borderId="8" xfId="1" applyNumberFormat="1" applyFont="1" applyFill="1" applyBorder="1" applyAlignment="1">
      <alignment horizontal="center"/>
    </xf>
    <xf numFmtId="166" fontId="9" fillId="14" borderId="15" xfId="1" applyNumberFormat="1" applyFont="1" applyFill="1" applyBorder="1" applyAlignment="1">
      <alignment horizontal="center"/>
    </xf>
    <xf numFmtId="2" fontId="9" fillId="14" borderId="10" xfId="1" applyNumberFormat="1" applyFont="1" applyFill="1" applyBorder="1" applyAlignment="1">
      <alignment horizontal="center"/>
    </xf>
    <xf numFmtId="165" fontId="9" fillId="14" borderId="11" xfId="1" applyNumberFormat="1" applyFont="1" applyFill="1" applyBorder="1" applyAlignment="1">
      <alignment horizontal="center"/>
    </xf>
    <xf numFmtId="166" fontId="9" fillId="14" borderId="16" xfId="1" applyNumberFormat="1" applyFont="1" applyFill="1" applyBorder="1" applyAlignment="1">
      <alignment horizontal="center"/>
    </xf>
    <xf numFmtId="2" fontId="9" fillId="14" borderId="12" xfId="1" applyNumberFormat="1" applyFont="1" applyFill="1" applyBorder="1" applyAlignment="1">
      <alignment horizontal="center"/>
    </xf>
    <xf numFmtId="165" fontId="9" fillId="12" borderId="5" xfId="1" applyNumberFormat="1" applyFont="1" applyFill="1" applyBorder="1" applyAlignment="1">
      <alignment horizontal="center"/>
    </xf>
    <xf numFmtId="166" fontId="9" fillId="12" borderId="4" xfId="1" applyNumberFormat="1" applyFont="1" applyFill="1" applyBorder="1" applyAlignment="1">
      <alignment horizontal="center"/>
    </xf>
    <xf numFmtId="2" fontId="9" fillId="12" borderId="7" xfId="1" applyNumberFormat="1" applyFont="1" applyFill="1" applyBorder="1" applyAlignment="1">
      <alignment horizontal="center"/>
    </xf>
    <xf numFmtId="165" fontId="9" fillId="15" borderId="8" xfId="1" applyNumberFormat="1" applyFont="1" applyFill="1" applyBorder="1" applyAlignment="1">
      <alignment horizontal="center"/>
    </xf>
    <xf numFmtId="166" fontId="9" fillId="15" borderId="15" xfId="1" applyNumberFormat="1" applyFont="1" applyFill="1" applyBorder="1" applyAlignment="1">
      <alignment horizontal="center"/>
    </xf>
    <xf numFmtId="2" fontId="9" fillId="15" borderId="10" xfId="1" applyNumberFormat="1" applyFont="1" applyFill="1" applyBorder="1" applyAlignment="1">
      <alignment horizontal="center"/>
    </xf>
    <xf numFmtId="165" fontId="9" fillId="15" borderId="13" xfId="1" applyNumberFormat="1" applyFont="1" applyFill="1" applyBorder="1" applyAlignment="1">
      <alignment horizontal="center"/>
    </xf>
    <xf numFmtId="166" fontId="9" fillId="15" borderId="17" xfId="1" applyNumberFormat="1" applyFont="1" applyFill="1" applyBorder="1" applyAlignment="1">
      <alignment horizontal="center"/>
    </xf>
    <xf numFmtId="2" fontId="9" fillId="15" borderId="14" xfId="1" applyNumberFormat="1" applyFont="1" applyFill="1" applyBorder="1" applyAlignment="1">
      <alignment horizontal="center"/>
    </xf>
    <xf numFmtId="165" fontId="9" fillId="12" borderId="13" xfId="1" applyNumberFormat="1" applyFont="1" applyFill="1" applyBorder="1" applyAlignment="1">
      <alignment horizontal="center"/>
    </xf>
    <xf numFmtId="166" fontId="9" fillId="12" borderId="17" xfId="1" applyNumberFormat="1" applyFont="1" applyFill="1" applyBorder="1" applyAlignment="1">
      <alignment horizontal="center"/>
    </xf>
    <xf numFmtId="2" fontId="9" fillId="12" borderId="14" xfId="1" applyNumberFormat="1" applyFont="1" applyFill="1" applyBorder="1" applyAlignment="1">
      <alignment horizontal="center"/>
    </xf>
    <xf numFmtId="165" fontId="9" fillId="12" borderId="11" xfId="1" applyNumberFormat="1" applyFont="1" applyFill="1" applyBorder="1" applyAlignment="1">
      <alignment horizontal="center"/>
    </xf>
    <xf numFmtId="166" fontId="9" fillId="12" borderId="16" xfId="1" applyNumberFormat="1" applyFont="1" applyFill="1" applyBorder="1" applyAlignment="1">
      <alignment horizontal="center"/>
    </xf>
    <xf numFmtId="2" fontId="9" fillId="12" borderId="12" xfId="1" applyNumberFormat="1" applyFont="1" applyFill="1" applyBorder="1" applyAlignment="1">
      <alignment horizontal="center"/>
    </xf>
    <xf numFmtId="165" fontId="9" fillId="16" borderId="5" xfId="1" applyNumberFormat="1" applyFont="1" applyFill="1" applyBorder="1" applyAlignment="1">
      <alignment horizontal="center"/>
    </xf>
    <xf numFmtId="166" fontId="9" fillId="16" borderId="4" xfId="1" applyNumberFormat="1" applyFont="1" applyFill="1" applyBorder="1" applyAlignment="1">
      <alignment horizontal="center"/>
    </xf>
    <xf numFmtId="2" fontId="9" fillId="16" borderId="7" xfId="1" applyNumberFormat="1" applyFont="1" applyFill="1" applyBorder="1" applyAlignment="1">
      <alignment horizontal="center"/>
    </xf>
    <xf numFmtId="165" fontId="9" fillId="19" borderId="5" xfId="1" applyNumberFormat="1" applyFont="1" applyFill="1" applyBorder="1" applyAlignment="1">
      <alignment horizontal="center"/>
    </xf>
    <xf numFmtId="166" fontId="9" fillId="19" borderId="4" xfId="1" applyNumberFormat="1" applyFont="1" applyFill="1" applyBorder="1" applyAlignment="1">
      <alignment horizontal="center"/>
    </xf>
    <xf numFmtId="2" fontId="9" fillId="19" borderId="7" xfId="1" applyNumberFormat="1" applyFont="1" applyFill="1" applyBorder="1" applyAlignment="1">
      <alignment horizontal="center"/>
    </xf>
    <xf numFmtId="165" fontId="9" fillId="17" borderId="5" xfId="1" applyNumberFormat="1" applyFont="1" applyFill="1" applyBorder="1" applyAlignment="1">
      <alignment horizontal="center"/>
    </xf>
    <xf numFmtId="166" fontId="9" fillId="17" borderId="4" xfId="1" applyNumberFormat="1" applyFont="1" applyFill="1" applyBorder="1" applyAlignment="1">
      <alignment horizontal="center"/>
    </xf>
    <xf numFmtId="2" fontId="9" fillId="17" borderId="7" xfId="1" applyNumberFormat="1" applyFont="1" applyFill="1" applyBorder="1" applyAlignment="1">
      <alignment horizontal="center"/>
    </xf>
    <xf numFmtId="165" fontId="9" fillId="18" borderId="5" xfId="1" applyNumberFormat="1" applyFont="1" applyFill="1" applyBorder="1" applyAlignment="1">
      <alignment horizontal="center"/>
    </xf>
    <xf numFmtId="166" fontId="9" fillId="18" borderId="4" xfId="1" applyNumberFormat="1" applyFont="1" applyFill="1" applyBorder="1" applyAlignment="1">
      <alignment horizontal="center"/>
    </xf>
    <xf numFmtId="2" fontId="9" fillId="18" borderId="7" xfId="1" applyNumberFormat="1" applyFont="1" applyFill="1" applyBorder="1" applyAlignment="1">
      <alignment horizontal="center"/>
    </xf>
    <xf numFmtId="165" fontId="9" fillId="0" borderId="5" xfId="1" applyNumberFormat="1" applyFont="1" applyBorder="1" applyAlignment="1">
      <alignment horizontal="center"/>
    </xf>
    <xf numFmtId="166" fontId="9" fillId="0" borderId="4" xfId="1" applyNumberFormat="1" applyFont="1" applyBorder="1" applyAlignment="1">
      <alignment horizontal="center"/>
    </xf>
    <xf numFmtId="2" fontId="9" fillId="0" borderId="7" xfId="1" applyNumberFormat="1" applyFont="1" applyBorder="1" applyAlignment="1">
      <alignment horizontal="center"/>
    </xf>
    <xf numFmtId="165" fontId="9" fillId="21" borderId="5" xfId="1" applyNumberFormat="1" applyFont="1" applyFill="1" applyBorder="1" applyAlignment="1">
      <alignment horizontal="center"/>
    </xf>
    <xf numFmtId="166" fontId="9" fillId="21" borderId="4" xfId="1" applyNumberFormat="1" applyFont="1" applyFill="1" applyBorder="1" applyAlignment="1">
      <alignment horizontal="center"/>
    </xf>
    <xf numFmtId="2" fontId="9" fillId="21" borderId="7" xfId="1" applyNumberFormat="1" applyFont="1" applyFill="1" applyBorder="1" applyAlignment="1">
      <alignment horizontal="center"/>
    </xf>
    <xf numFmtId="165" fontId="9" fillId="20" borderId="5" xfId="1" applyNumberFormat="1" applyFont="1" applyFill="1" applyBorder="1" applyAlignment="1">
      <alignment horizontal="center"/>
    </xf>
    <xf numFmtId="166" fontId="9" fillId="20" borderId="4" xfId="1" applyNumberFormat="1" applyFont="1" applyFill="1" applyBorder="1" applyAlignment="1">
      <alignment horizontal="center"/>
    </xf>
    <xf numFmtId="2" fontId="9" fillId="20" borderId="7" xfId="1" applyNumberFormat="1" applyFont="1" applyFill="1" applyBorder="1" applyAlignment="1">
      <alignment horizontal="center"/>
    </xf>
    <xf numFmtId="165" fontId="9" fillId="22" borderId="5" xfId="1" applyNumberFormat="1" applyFont="1" applyFill="1" applyBorder="1" applyAlignment="1">
      <alignment horizontal="center"/>
    </xf>
    <xf numFmtId="166" fontId="9" fillId="22" borderId="4" xfId="1" applyNumberFormat="1" applyFont="1" applyFill="1" applyBorder="1" applyAlignment="1">
      <alignment horizontal="center"/>
    </xf>
    <xf numFmtId="2" fontId="9" fillId="22" borderId="7" xfId="1" applyNumberFormat="1" applyFont="1" applyFill="1" applyBorder="1" applyAlignment="1">
      <alignment horizontal="center"/>
    </xf>
    <xf numFmtId="165" fontId="9" fillId="23" borderId="5" xfId="1" applyNumberFormat="1" applyFont="1" applyFill="1" applyBorder="1" applyAlignment="1">
      <alignment horizontal="center"/>
    </xf>
    <xf numFmtId="166" fontId="9" fillId="23" borderId="4" xfId="1" applyNumberFormat="1" applyFont="1" applyFill="1" applyBorder="1" applyAlignment="1">
      <alignment horizontal="center"/>
    </xf>
    <xf numFmtId="2" fontId="9" fillId="23" borderId="7" xfId="1" applyNumberFormat="1" applyFont="1" applyFill="1" applyBorder="1" applyAlignment="1">
      <alignment horizontal="center"/>
    </xf>
    <xf numFmtId="165" fontId="9" fillId="21" borderId="8" xfId="1" applyNumberFormat="1" applyFont="1" applyFill="1" applyBorder="1" applyAlignment="1">
      <alignment horizontal="center"/>
    </xf>
    <xf numFmtId="166" fontId="9" fillId="21" borderId="15" xfId="1" applyNumberFormat="1" applyFont="1" applyFill="1" applyBorder="1" applyAlignment="1">
      <alignment horizontal="center"/>
    </xf>
    <xf numFmtId="2" fontId="9" fillId="21" borderId="10" xfId="1" applyNumberFormat="1" applyFont="1" applyFill="1" applyBorder="1" applyAlignment="1">
      <alignment horizontal="center"/>
    </xf>
    <xf numFmtId="0" fontId="5" fillId="0" borderId="0" xfId="0" applyFont="1" applyAlignment="1">
      <alignment horizontal="center" vertical="center"/>
    </xf>
    <xf numFmtId="2" fontId="5" fillId="0" borderId="0" xfId="0" applyNumberFormat="1" applyFont="1" applyAlignment="1">
      <alignment horizontal="center" vertical="center"/>
    </xf>
    <xf numFmtId="164" fontId="5" fillId="0" borderId="0" xfId="0" applyNumberFormat="1" applyFont="1" applyAlignment="1">
      <alignment horizontal="center" vertical="center"/>
    </xf>
    <xf numFmtId="2" fontId="25" fillId="0" borderId="0" xfId="0" applyNumberFormat="1" applyFont="1" applyAlignment="1">
      <alignment horizontal="center" vertical="center"/>
    </xf>
    <xf numFmtId="1" fontId="25" fillId="0" borderId="0" xfId="0" applyNumberFormat="1" applyFont="1" applyAlignment="1">
      <alignment horizontal="center" vertical="center"/>
    </xf>
    <xf numFmtId="0" fontId="25" fillId="0" borderId="0" xfId="0" applyFont="1" applyAlignment="1">
      <alignment horizontal="center" vertical="center"/>
    </xf>
    <xf numFmtId="167" fontId="5" fillId="0" borderId="0" xfId="0" applyNumberFormat="1" applyFont="1" applyAlignment="1">
      <alignment horizontal="center" vertical="center"/>
    </xf>
    <xf numFmtId="1" fontId="5" fillId="0" borderId="0" xfId="0" applyNumberFormat="1" applyFont="1" applyAlignment="1">
      <alignment horizontal="center" vertical="center"/>
    </xf>
    <xf numFmtId="164" fontId="0" fillId="0" borderId="0" xfId="0" applyNumberFormat="1" applyAlignment="1">
      <alignment horizontal="center" vertical="center"/>
    </xf>
    <xf numFmtId="0" fontId="5" fillId="0" borderId="0" xfId="2"/>
    <xf numFmtId="11" fontId="5" fillId="0" borderId="0" xfId="2" applyNumberFormat="1"/>
    <xf numFmtId="22" fontId="5" fillId="0" borderId="0" xfId="2" applyNumberFormat="1"/>
    <xf numFmtId="0" fontId="27" fillId="0" borderId="0" xfId="2" applyFont="1"/>
    <xf numFmtId="0" fontId="24" fillId="0" borderId="0" xfId="2" applyFont="1"/>
    <xf numFmtId="1" fontId="5" fillId="0" borderId="0" xfId="2" applyNumberFormat="1"/>
    <xf numFmtId="11" fontId="27" fillId="0" borderId="0" xfId="2" applyNumberFormat="1" applyFont="1"/>
    <xf numFmtId="0" fontId="5" fillId="24" borderId="0" xfId="2" applyFill="1"/>
    <xf numFmtId="0" fontId="24" fillId="24" borderId="0" xfId="2" applyFont="1" applyFill="1"/>
    <xf numFmtId="1" fontId="5" fillId="24" borderId="0" xfId="2" applyNumberFormat="1" applyFill="1"/>
    <xf numFmtId="11" fontId="5" fillId="24" borderId="0" xfId="2" applyNumberFormat="1" applyFill="1"/>
    <xf numFmtId="22" fontId="5" fillId="24" borderId="0" xfId="2" applyNumberFormat="1" applyFill="1"/>
    <xf numFmtId="1" fontId="24" fillId="0" borderId="0" xfId="2" applyNumberFormat="1" applyFont="1"/>
    <xf numFmtId="11" fontId="24" fillId="0" borderId="0" xfId="2" applyNumberFormat="1" applyFont="1"/>
    <xf numFmtId="22" fontId="24" fillId="0" borderId="0" xfId="2" applyNumberFormat="1" applyFont="1"/>
    <xf numFmtId="1" fontId="24" fillId="24" borderId="0" xfId="2" applyNumberFormat="1" applyFont="1" applyFill="1"/>
    <xf numFmtId="11" fontId="24" fillId="24" borderId="0" xfId="2" applyNumberFormat="1" applyFont="1" applyFill="1"/>
    <xf numFmtId="22" fontId="24" fillId="24" borderId="0" xfId="2" applyNumberFormat="1" applyFont="1" applyFill="1"/>
    <xf numFmtId="1" fontId="27" fillId="0" borderId="0" xfId="2" applyNumberFormat="1" applyFont="1"/>
    <xf numFmtId="0" fontId="5" fillId="25" borderId="0" xfId="2" applyFill="1"/>
    <xf numFmtId="1" fontId="5" fillId="25" borderId="0" xfId="2" applyNumberFormat="1" applyFill="1"/>
    <xf numFmtId="11" fontId="5" fillId="25" borderId="0" xfId="2" applyNumberFormat="1" applyFill="1"/>
    <xf numFmtId="22" fontId="5" fillId="25" borderId="0" xfId="2" applyNumberFormat="1" applyFill="1"/>
    <xf numFmtId="0" fontId="5" fillId="2" borderId="0" xfId="2" applyFill="1" applyAlignment="1">
      <alignment wrapText="1"/>
    </xf>
    <xf numFmtId="0" fontId="28" fillId="11" borderId="0" xfId="2" applyFont="1" applyFill="1"/>
    <xf numFmtId="1" fontId="28" fillId="11" borderId="0" xfId="2" applyNumberFormat="1" applyFont="1" applyFill="1"/>
    <xf numFmtId="11" fontId="28" fillId="11" borderId="0" xfId="2" applyNumberFormat="1" applyFont="1" applyFill="1"/>
    <xf numFmtId="22" fontId="28" fillId="11" borderId="0" xfId="2" applyNumberFormat="1" applyFont="1" applyFill="1"/>
    <xf numFmtId="0" fontId="5" fillId="11" borderId="0" xfId="2" applyFill="1"/>
    <xf numFmtId="1" fontId="5" fillId="11" borderId="0" xfId="2" applyNumberFormat="1" applyFill="1"/>
    <xf numFmtId="11" fontId="5" fillId="11" borderId="0" xfId="2" applyNumberFormat="1" applyFill="1"/>
    <xf numFmtId="22" fontId="5" fillId="11" borderId="0" xfId="2" applyNumberFormat="1" applyFill="1"/>
    <xf numFmtId="0" fontId="5" fillId="26" borderId="0" xfId="2" applyFill="1"/>
    <xf numFmtId="1" fontId="5" fillId="26" borderId="0" xfId="2" applyNumberFormat="1" applyFill="1"/>
    <xf numFmtId="11" fontId="5" fillId="26" borderId="0" xfId="2" applyNumberFormat="1" applyFill="1"/>
    <xf numFmtId="22" fontId="5" fillId="26" borderId="0" xfId="2" applyNumberFormat="1" applyFill="1"/>
    <xf numFmtId="0" fontId="24" fillId="26" borderId="0" xfId="2" applyFont="1" applyFill="1"/>
    <xf numFmtId="1" fontId="24" fillId="26" borderId="0" xfId="2" applyNumberFormat="1" applyFont="1" applyFill="1"/>
    <xf numFmtId="11" fontId="24" fillId="26" borderId="0" xfId="2" applyNumberFormat="1" applyFont="1" applyFill="1"/>
    <xf numFmtId="22" fontId="24" fillId="26" borderId="0" xfId="2" applyNumberFormat="1" applyFont="1" applyFill="1"/>
    <xf numFmtId="0" fontId="24" fillId="27" borderId="0" xfId="2" applyFont="1" applyFill="1"/>
    <xf numFmtId="1" fontId="24" fillId="27" borderId="0" xfId="2" applyNumberFormat="1" applyFont="1" applyFill="1"/>
    <xf numFmtId="11" fontId="24" fillId="27" borderId="0" xfId="2" applyNumberFormat="1" applyFont="1" applyFill="1"/>
    <xf numFmtId="22" fontId="24" fillId="27" borderId="0" xfId="2" applyNumberFormat="1" applyFont="1" applyFill="1"/>
    <xf numFmtId="0" fontId="5" fillId="27" borderId="0" xfId="2" applyFill="1"/>
    <xf numFmtId="0" fontId="5" fillId="28" borderId="0" xfId="2" applyFill="1" applyAlignment="1">
      <alignment wrapText="1"/>
    </xf>
    <xf numFmtId="1" fontId="5" fillId="27" borderId="0" xfId="2" applyNumberFormat="1" applyFill="1"/>
    <xf numFmtId="11" fontId="5" fillId="27" borderId="0" xfId="2" applyNumberFormat="1" applyFill="1"/>
    <xf numFmtId="22" fontId="5" fillId="27" borderId="0" xfId="2" applyNumberFormat="1" applyFill="1"/>
    <xf numFmtId="0" fontId="5" fillId="29" borderId="0" xfId="2" applyFill="1"/>
    <xf numFmtId="1" fontId="5" fillId="29" borderId="0" xfId="2" applyNumberFormat="1" applyFill="1"/>
    <xf numFmtId="11" fontId="5" fillId="29" borderId="0" xfId="2" applyNumberFormat="1" applyFill="1"/>
    <xf numFmtId="22" fontId="5" fillId="29" borderId="0" xfId="2" applyNumberFormat="1" applyFill="1"/>
    <xf numFmtId="0" fontId="24" fillId="29" borderId="0" xfId="2" applyFont="1" applyFill="1"/>
    <xf numFmtId="1" fontId="24" fillId="29" borderId="0" xfId="2" applyNumberFormat="1" applyFont="1" applyFill="1"/>
    <xf numFmtId="11" fontId="24" fillId="29" borderId="0" xfId="2" applyNumberFormat="1" applyFont="1" applyFill="1"/>
    <xf numFmtId="22" fontId="24" fillId="29" borderId="0" xfId="2" applyNumberFormat="1" applyFont="1" applyFill="1"/>
    <xf numFmtId="0" fontId="24" fillId="25" borderId="0" xfId="2" applyFont="1" applyFill="1"/>
    <xf numFmtId="11" fontId="24" fillId="25" borderId="0" xfId="2" applyNumberFormat="1" applyFont="1" applyFill="1"/>
    <xf numFmtId="22" fontId="24" fillId="25" borderId="0" xfId="2" applyNumberFormat="1" applyFont="1" applyFill="1"/>
    <xf numFmtId="0" fontId="5" fillId="9" borderId="0" xfId="2" applyFill="1"/>
    <xf numFmtId="1" fontId="5" fillId="9" borderId="0" xfId="2" applyNumberFormat="1" applyFill="1"/>
    <xf numFmtId="11" fontId="5" fillId="9" borderId="0" xfId="2" applyNumberFormat="1" applyFill="1"/>
    <xf numFmtId="22" fontId="5" fillId="9" borderId="0" xfId="2" applyNumberFormat="1" applyFill="1"/>
    <xf numFmtId="0" fontId="5" fillId="30" borderId="0" xfId="2" applyFill="1"/>
    <xf numFmtId="1" fontId="5" fillId="30" borderId="0" xfId="2" applyNumberFormat="1" applyFill="1"/>
    <xf numFmtId="11" fontId="5" fillId="30" borderId="0" xfId="2" applyNumberFormat="1" applyFill="1"/>
    <xf numFmtId="22" fontId="5" fillId="30" borderId="0" xfId="2" applyNumberFormat="1" applyFill="1"/>
    <xf numFmtId="0" fontId="24" fillId="6" borderId="0" xfId="2" applyFont="1" applyFill="1"/>
    <xf numFmtId="1" fontId="5" fillId="6" borderId="0" xfId="2" applyNumberFormat="1" applyFill="1"/>
    <xf numFmtId="11" fontId="24" fillId="6" borderId="0" xfId="2" applyNumberFormat="1" applyFont="1" applyFill="1"/>
    <xf numFmtId="22" fontId="24" fillId="6" borderId="0" xfId="2" applyNumberFormat="1" applyFont="1" applyFill="1"/>
    <xf numFmtId="0" fontId="5" fillId="6" borderId="0" xfId="2" applyFill="1"/>
    <xf numFmtId="11" fontId="5" fillId="6" borderId="0" xfId="2" applyNumberFormat="1" applyFill="1"/>
    <xf numFmtId="22" fontId="5" fillId="6" borderId="0" xfId="2" applyNumberFormat="1" applyFill="1"/>
    <xf numFmtId="0" fontId="5" fillId="31" borderId="0" xfId="2" applyFill="1"/>
    <xf numFmtId="1" fontId="5" fillId="31" borderId="0" xfId="2" applyNumberFormat="1" applyFill="1"/>
    <xf numFmtId="11" fontId="5" fillId="31" borderId="0" xfId="2" applyNumberFormat="1" applyFill="1"/>
    <xf numFmtId="22" fontId="5" fillId="31" borderId="0" xfId="2" applyNumberFormat="1" applyFill="1"/>
    <xf numFmtId="167" fontId="24" fillId="0" borderId="0" xfId="2" applyNumberFormat="1" applyFont="1"/>
    <xf numFmtId="0" fontId="24" fillId="0" borderId="13" xfId="2" applyFont="1" applyBorder="1" applyAlignment="1">
      <alignment horizontal="center"/>
    </xf>
    <xf numFmtId="1" fontId="5" fillId="0" borderId="14" xfId="2" applyNumberFormat="1" applyBorder="1"/>
    <xf numFmtId="167" fontId="5" fillId="0" borderId="0" xfId="2" applyNumberFormat="1"/>
    <xf numFmtId="0" fontId="5" fillId="0" borderId="13" xfId="2" applyBorder="1" applyAlignment="1">
      <alignment horizontal="center"/>
    </xf>
    <xf numFmtId="1" fontId="24" fillId="0" borderId="14" xfId="2" applyNumberFormat="1" applyFont="1" applyBorder="1"/>
    <xf numFmtId="0" fontId="5" fillId="2" borderId="0" xfId="2" applyFill="1"/>
    <xf numFmtId="0" fontId="5" fillId="0" borderId="10" xfId="2" applyBorder="1"/>
    <xf numFmtId="0" fontId="5" fillId="0" borderId="9" xfId="2" applyBorder="1"/>
    <xf numFmtId="0" fontId="5" fillId="0" borderId="8" xfId="2" applyBorder="1" applyAlignment="1">
      <alignment horizontal="center"/>
    </xf>
    <xf numFmtId="0" fontId="5" fillId="0" borderId="0" xfId="2" applyAlignment="1">
      <alignment horizontal="center"/>
    </xf>
    <xf numFmtId="167" fontId="5" fillId="0" borderId="0" xfId="2" applyNumberFormat="1" applyAlignment="1">
      <alignment horizontal="center" vertical="center"/>
    </xf>
    <xf numFmtId="2" fontId="5" fillId="0" borderId="0" xfId="2" applyNumberFormat="1" applyAlignment="1">
      <alignment horizontal="center" vertical="center"/>
    </xf>
    <xf numFmtId="1" fontId="5" fillId="0" borderId="0" xfId="2" applyNumberFormat="1" applyAlignment="1">
      <alignment horizontal="center"/>
    </xf>
    <xf numFmtId="167" fontId="5" fillId="0" borderId="0" xfId="2" applyNumberFormat="1" applyAlignment="1">
      <alignment horizontal="center"/>
    </xf>
    <xf numFmtId="2" fontId="29" fillId="0" borderId="0" xfId="2" applyNumberFormat="1" applyFont="1" applyAlignment="1">
      <alignment horizontal="center"/>
    </xf>
    <xf numFmtId="2" fontId="5" fillId="0" borderId="0" xfId="2" applyNumberFormat="1" applyAlignment="1">
      <alignment horizontal="center"/>
    </xf>
    <xf numFmtId="0" fontId="5" fillId="0" borderId="12" xfId="2" applyBorder="1" applyAlignment="1">
      <alignment horizontal="center"/>
    </xf>
    <xf numFmtId="0" fontId="5" fillId="0" borderId="2" xfId="2" applyBorder="1" applyAlignment="1">
      <alignment horizontal="center"/>
    </xf>
    <xf numFmtId="0" fontId="5" fillId="0" borderId="2" xfId="2" applyBorder="1" applyAlignment="1">
      <alignment horizontal="center" vertical="center"/>
    </xf>
    <xf numFmtId="0" fontId="5" fillId="0" borderId="11" xfId="2" applyBorder="1" applyAlignment="1">
      <alignment horizontal="center" vertical="center"/>
    </xf>
    <xf numFmtId="0" fontId="5" fillId="0" borderId="6" xfId="2" applyBorder="1" applyAlignment="1">
      <alignment horizontal="center"/>
    </xf>
    <xf numFmtId="0" fontId="5" fillId="0" borderId="0" xfId="2" applyAlignment="1">
      <alignment horizontal="center" vertical="center"/>
    </xf>
    <xf numFmtId="0" fontId="5" fillId="0" borderId="12" xfId="2" applyBorder="1" applyAlignment="1">
      <alignment horizontal="center" vertical="center"/>
    </xf>
    <xf numFmtId="0" fontId="5" fillId="0" borderId="16" xfId="2" applyBorder="1" applyAlignment="1">
      <alignment horizontal="center" vertical="center"/>
    </xf>
    <xf numFmtId="0" fontId="5" fillId="0" borderId="14" xfId="2" applyBorder="1" applyAlignment="1">
      <alignment horizontal="center" vertical="center"/>
    </xf>
    <xf numFmtId="0" fontId="5" fillId="0" borderId="17" xfId="2" applyBorder="1" applyAlignment="1">
      <alignment horizontal="center" vertical="center"/>
    </xf>
    <xf numFmtId="0" fontId="5" fillId="0" borderId="13" xfId="2" applyBorder="1" applyAlignment="1">
      <alignment horizontal="center" vertical="center"/>
    </xf>
    <xf numFmtId="0" fontId="5" fillId="0" borderId="7" xfId="2" applyBorder="1" applyAlignment="1">
      <alignment horizontal="center" vertical="center"/>
    </xf>
    <xf numFmtId="0" fontId="5" fillId="0" borderId="4" xfId="2" applyBorder="1" applyAlignment="1">
      <alignment horizontal="center" vertical="center"/>
    </xf>
    <xf numFmtId="0" fontId="5" fillId="0" borderId="6" xfId="2" applyBorder="1" applyAlignment="1">
      <alignment horizontal="center" vertical="center"/>
    </xf>
    <xf numFmtId="0" fontId="5" fillId="0" borderId="5" xfId="2" applyBorder="1" applyAlignment="1">
      <alignment horizontal="center" vertical="center"/>
    </xf>
    <xf numFmtId="0" fontId="26" fillId="32" borderId="0" xfId="2" applyFont="1" applyFill="1"/>
    <xf numFmtId="0" fontId="26" fillId="0" borderId="0" xfId="2" applyFont="1"/>
    <xf numFmtId="1" fontId="0" fillId="0" borderId="0" xfId="0" applyNumberFormat="1" applyAlignment="1">
      <alignment horizontal="center" vertical="center"/>
    </xf>
    <xf numFmtId="0" fontId="4" fillId="0" borderId="0" xfId="0" applyFont="1" applyAlignment="1">
      <alignment horizontal="center" vertical="center"/>
    </xf>
    <xf numFmtId="0" fontId="3" fillId="0" borderId="13" xfId="2" applyFont="1" applyBorder="1" applyAlignment="1">
      <alignment horizontal="center"/>
    </xf>
    <xf numFmtId="22" fontId="0" fillId="0" borderId="0" xfId="0" applyNumberFormat="1"/>
    <xf numFmtId="11" fontId="0" fillId="0" borderId="0" xfId="0" applyNumberFormat="1"/>
    <xf numFmtId="0" fontId="26" fillId="0" borderId="0" xfId="0" applyFont="1"/>
    <xf numFmtId="11" fontId="3" fillId="0" borderId="0" xfId="2" applyNumberFormat="1" applyFont="1"/>
    <xf numFmtId="0" fontId="26" fillId="32" borderId="0" xfId="0" applyFont="1" applyFill="1"/>
    <xf numFmtId="22" fontId="26" fillId="32" borderId="0" xfId="0" applyNumberFormat="1" applyFont="1" applyFill="1"/>
    <xf numFmtId="11" fontId="26" fillId="32" borderId="0" xfId="0" applyNumberFormat="1" applyFont="1" applyFill="1"/>
    <xf numFmtId="0" fontId="24" fillId="32" borderId="0" xfId="2" applyFont="1" applyFill="1"/>
    <xf numFmtId="1" fontId="5" fillId="32" borderId="0" xfId="2" applyNumberFormat="1" applyFill="1"/>
    <xf numFmtId="0" fontId="0" fillId="32" borderId="0" xfId="0" applyFill="1"/>
    <xf numFmtId="22" fontId="0" fillId="32" borderId="0" xfId="0" applyNumberFormat="1" applyFill="1"/>
    <xf numFmtId="11" fontId="0" fillId="32" borderId="0" xfId="0" applyNumberFormat="1" applyFill="1"/>
    <xf numFmtId="0" fontId="5" fillId="32" borderId="0" xfId="2" applyFill="1"/>
    <xf numFmtId="0" fontId="24" fillId="0" borderId="0" xfId="0" applyFont="1"/>
    <xf numFmtId="0" fontId="3" fillId="2" borderId="0" xfId="2" applyFont="1" applyFill="1" applyAlignment="1">
      <alignment wrapText="1"/>
    </xf>
    <xf numFmtId="0" fontId="3" fillId="0" borderId="0" xfId="2" applyFont="1"/>
    <xf numFmtId="0" fontId="3" fillId="2" borderId="0" xfId="2" applyFont="1" applyFill="1"/>
    <xf numFmtId="0" fontId="24" fillId="11" borderId="0" xfId="2" applyFont="1" applyFill="1"/>
    <xf numFmtId="11" fontId="24" fillId="11" borderId="0" xfId="2" applyNumberFormat="1" applyFont="1" applyFill="1"/>
    <xf numFmtId="22" fontId="24" fillId="11" borderId="0" xfId="2" applyNumberFormat="1" applyFont="1" applyFill="1"/>
    <xf numFmtId="1" fontId="24" fillId="11" borderId="0" xfId="2" applyNumberFormat="1" applyFont="1" applyFill="1"/>
    <xf numFmtId="0" fontId="30" fillId="0" borderId="0" xfId="0" applyFont="1"/>
    <xf numFmtId="1" fontId="24" fillId="30" borderId="0" xfId="2" applyNumberFormat="1" applyFont="1" applyFill="1"/>
    <xf numFmtId="1" fontId="26" fillId="0" borderId="0" xfId="0" applyNumberFormat="1" applyFont="1"/>
    <xf numFmtId="0" fontId="3" fillId="0" borderId="11" xfId="2" applyFont="1" applyBorder="1" applyAlignment="1">
      <alignment horizontal="center"/>
    </xf>
    <xf numFmtId="167" fontId="3" fillId="0" borderId="2" xfId="2" applyNumberFormat="1" applyFont="1" applyBorder="1"/>
    <xf numFmtId="167" fontId="3" fillId="0" borderId="12" xfId="2" applyNumberFormat="1" applyFont="1" applyBorder="1"/>
    <xf numFmtId="167" fontId="3" fillId="0" borderId="0" xfId="2" applyNumberFormat="1" applyFont="1"/>
    <xf numFmtId="2" fontId="0" fillId="0" borderId="0" xfId="0" applyNumberFormat="1" applyAlignment="1">
      <alignment horizontal="center" vertical="center"/>
    </xf>
    <xf numFmtId="0" fontId="2" fillId="0" borderId="0" xfId="2" applyFont="1" applyAlignment="1">
      <alignment horizontal="center"/>
    </xf>
    <xf numFmtId="0" fontId="0" fillId="0" borderId="0" xfId="0" applyAlignment="1">
      <alignment horizontal="center" vertical="center"/>
    </xf>
    <xf numFmtId="0" fontId="5" fillId="0" borderId="5" xfId="2" applyBorder="1" applyAlignment="1">
      <alignment horizontal="center"/>
    </xf>
    <xf numFmtId="0" fontId="5" fillId="0" borderId="6" xfId="2" applyBorder="1" applyAlignment="1">
      <alignment horizontal="center"/>
    </xf>
    <xf numFmtId="0" fontId="5" fillId="0" borderId="7" xfId="2" applyBorder="1" applyAlignment="1">
      <alignment horizontal="center"/>
    </xf>
    <xf numFmtId="0" fontId="1" fillId="0" borderId="0" xfId="0" applyFont="1" applyAlignment="1">
      <alignment horizontal="center" vertical="center"/>
    </xf>
    <xf numFmtId="0" fontId="21" fillId="0" borderId="0" xfId="0" applyFont="1" applyAlignment="1">
      <alignment horizontal="center" vertical="center" readingOrder="1"/>
    </xf>
  </cellXfs>
  <cellStyles count="3">
    <cellStyle name="Normal" xfId="0" builtinId="0"/>
    <cellStyle name="Normal 2" xfId="1" xr:uid="{FB9D3DF1-91FD-BF4F-A4DA-175C2B41B660}"/>
    <cellStyle name="Normal 3" xfId="2" xr:uid="{6D27C99C-E6A2-3340-B112-72437CD5D702}"/>
  </cellStyles>
  <dxfs count="0"/>
  <tableStyles count="0" defaultTableStyle="TableStyleMedium2" defaultPivotStyle="PivotStyleMedium9"/>
  <colors>
    <mruColors>
      <color rgb="FF426197"/>
      <color rgb="FF011893"/>
      <color rgb="FF00FDFF"/>
      <color rgb="FFD883FF"/>
      <color rgb="FFFF9300"/>
      <color rgb="FFFFFC00"/>
      <color rgb="FFFFFD78"/>
      <color rgb="FFFF7E79"/>
      <color rgb="FFFF40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871981008180016E-2"/>
          <c:y val="2.9498325753579812E-2"/>
          <c:w val="0.82653048765815007"/>
          <c:h val="0.85142683633940353"/>
        </c:manualLayout>
      </c:layout>
      <c:scatterChart>
        <c:scatterStyle val="lineMarker"/>
        <c:varyColors val="0"/>
        <c:ser>
          <c:idx val="0"/>
          <c:order val="0"/>
          <c:tx>
            <c:v>3.66</c:v>
          </c:tx>
          <c:spPr>
            <a:ln w="19050" cap="rnd">
              <a:noFill/>
              <a:round/>
            </a:ln>
            <a:effectLst/>
          </c:spPr>
          <c:marker>
            <c:symbol val="circle"/>
            <c:size val="5"/>
            <c:spPr>
              <a:solidFill>
                <a:srgbClr val="FF0000"/>
              </a:solidFill>
              <a:ln w="9525">
                <a:solidFill>
                  <a:srgbClr val="FF0000"/>
                </a:solidFill>
              </a:ln>
              <a:effectLst/>
            </c:spPr>
          </c:marker>
          <c:xVal>
            <c:numRef>
              <c:f>'D17Osw and d18Osw'!$N$2</c:f>
              <c:numCache>
                <c:formatCode>General</c:formatCode>
                <c:ptCount val="1"/>
                <c:pt idx="0">
                  <c:v>-5.0238118351340422</c:v>
                </c:pt>
              </c:numCache>
            </c:numRef>
          </c:xVal>
          <c:yVal>
            <c:numRef>
              <c:f>'D17Osw and d18Osw'!$P$2</c:f>
              <c:numCache>
                <c:formatCode>General</c:formatCode>
                <c:ptCount val="1"/>
                <c:pt idx="0">
                  <c:v>-4.6309814970095786</c:v>
                </c:pt>
              </c:numCache>
            </c:numRef>
          </c:yVal>
          <c:smooth val="0"/>
          <c:extLst>
            <c:ext xmlns:c16="http://schemas.microsoft.com/office/drawing/2014/chart" uri="{C3380CC4-5D6E-409C-BE32-E72D297353CC}">
              <c16:uniqueId val="{00000002-CA5D-7540-9504-59580A3D502B}"/>
            </c:ext>
          </c:extLst>
        </c:ser>
        <c:ser>
          <c:idx val="8"/>
          <c:order val="1"/>
          <c:tx>
            <c:v>3.45</c:v>
          </c:tx>
          <c:spPr>
            <a:ln w="25400" cap="rnd">
              <a:noFill/>
              <a:round/>
            </a:ln>
            <a:effectLst/>
          </c:spPr>
          <c:marker>
            <c:symbol val="circle"/>
            <c:size val="5"/>
            <c:spPr>
              <a:solidFill>
                <a:schemeClr val="accent2"/>
              </a:solidFill>
              <a:ln w="9525">
                <a:solidFill>
                  <a:schemeClr val="accent2"/>
                </a:solidFill>
              </a:ln>
              <a:effectLst/>
            </c:spPr>
          </c:marker>
          <c:xVal>
            <c:numRef>
              <c:f>'D17Osw and d18Osw'!$N$3</c:f>
              <c:numCache>
                <c:formatCode>General</c:formatCode>
                <c:ptCount val="1"/>
                <c:pt idx="0">
                  <c:v>-7.6028753126318236</c:v>
                </c:pt>
              </c:numCache>
            </c:numRef>
          </c:xVal>
          <c:yVal>
            <c:numRef>
              <c:f>'D17Osw and d18Osw'!$P$3</c:f>
              <c:numCache>
                <c:formatCode>General</c:formatCode>
                <c:ptCount val="1"/>
                <c:pt idx="0">
                  <c:v>-35.290249609801982</c:v>
                </c:pt>
              </c:numCache>
            </c:numRef>
          </c:yVal>
          <c:smooth val="0"/>
          <c:extLst>
            <c:ext xmlns:c16="http://schemas.microsoft.com/office/drawing/2014/chart" uri="{C3380CC4-5D6E-409C-BE32-E72D297353CC}">
              <c16:uniqueId val="{00000000-B3B9-8943-8A96-9E7104EADD89}"/>
            </c:ext>
          </c:extLst>
        </c:ser>
        <c:ser>
          <c:idx val="1"/>
          <c:order val="2"/>
          <c:tx>
            <c:v>3.30</c:v>
          </c:tx>
          <c:spPr>
            <a:ln w="25400" cap="rnd">
              <a:noFill/>
              <a:round/>
            </a:ln>
            <a:effectLst/>
          </c:spPr>
          <c:marker>
            <c:symbol val="circle"/>
            <c:size val="5"/>
            <c:spPr>
              <a:solidFill>
                <a:schemeClr val="accent4"/>
              </a:solidFill>
              <a:ln w="9525">
                <a:solidFill>
                  <a:schemeClr val="accent4"/>
                </a:solidFill>
              </a:ln>
              <a:effectLst/>
            </c:spPr>
          </c:marker>
          <c:xVal>
            <c:numRef>
              <c:f>'D17Osw and d18Osw'!$N$4</c:f>
              <c:numCache>
                <c:formatCode>General</c:formatCode>
                <c:ptCount val="1"/>
                <c:pt idx="0">
                  <c:v>-5.854104139247605</c:v>
                </c:pt>
              </c:numCache>
            </c:numRef>
          </c:xVal>
          <c:yVal>
            <c:numRef>
              <c:f>'D17Osw and d18Osw'!$P$4</c:f>
              <c:numCache>
                <c:formatCode>General</c:formatCode>
                <c:ptCount val="1"/>
                <c:pt idx="0">
                  <c:v>29.270930159349007</c:v>
                </c:pt>
              </c:numCache>
            </c:numRef>
          </c:yVal>
          <c:smooth val="0"/>
          <c:extLst>
            <c:ext xmlns:c16="http://schemas.microsoft.com/office/drawing/2014/chart" uri="{C3380CC4-5D6E-409C-BE32-E72D297353CC}">
              <c16:uniqueId val="{00000003-CA5D-7540-9504-59580A3D502B}"/>
            </c:ext>
          </c:extLst>
        </c:ser>
        <c:ser>
          <c:idx val="2"/>
          <c:order val="3"/>
          <c:tx>
            <c:v>3.12</c:v>
          </c:tx>
          <c:spPr>
            <a:ln w="25400" cap="rnd">
              <a:noFill/>
              <a:round/>
            </a:ln>
            <a:effectLst/>
          </c:spPr>
          <c:marker>
            <c:symbol val="circle"/>
            <c:size val="5"/>
            <c:spPr>
              <a:solidFill>
                <a:srgbClr val="C00000"/>
              </a:solidFill>
              <a:ln w="9525">
                <a:solidFill>
                  <a:srgbClr val="C00000"/>
                </a:solidFill>
              </a:ln>
              <a:effectLst/>
            </c:spPr>
          </c:marker>
          <c:xVal>
            <c:numRef>
              <c:f>'D17Osw and d18Osw'!$N$5</c:f>
              <c:numCache>
                <c:formatCode>General</c:formatCode>
                <c:ptCount val="1"/>
                <c:pt idx="0">
                  <c:v>-9.1406267780960384</c:v>
                </c:pt>
              </c:numCache>
            </c:numRef>
          </c:xVal>
          <c:yVal>
            <c:numRef>
              <c:f>'D17Osw and d18Osw'!$P$5</c:f>
              <c:numCache>
                <c:formatCode>General</c:formatCode>
                <c:ptCount val="1"/>
                <c:pt idx="0">
                  <c:v>4.1865352537158174</c:v>
                </c:pt>
              </c:numCache>
            </c:numRef>
          </c:yVal>
          <c:smooth val="0"/>
          <c:extLst>
            <c:ext xmlns:c16="http://schemas.microsoft.com/office/drawing/2014/chart" uri="{C3380CC4-5D6E-409C-BE32-E72D297353CC}">
              <c16:uniqueId val="{00000004-CA5D-7540-9504-59580A3D502B}"/>
            </c:ext>
          </c:extLst>
        </c:ser>
        <c:ser>
          <c:idx val="3"/>
          <c:order val="4"/>
          <c:tx>
            <c:v>2.99</c:v>
          </c:tx>
          <c:spPr>
            <a:ln w="25400" cap="rnd">
              <a:noFill/>
              <a:round/>
            </a:ln>
            <a:effectLst/>
          </c:spPr>
          <c:marker>
            <c:symbol val="circle"/>
            <c:size val="5"/>
            <c:spPr>
              <a:solidFill>
                <a:schemeClr val="accent6"/>
              </a:solidFill>
              <a:ln w="9525">
                <a:solidFill>
                  <a:schemeClr val="accent6"/>
                </a:solidFill>
              </a:ln>
              <a:effectLst/>
            </c:spPr>
          </c:marker>
          <c:xVal>
            <c:numRef>
              <c:f>'D17Osw and d18Osw'!$N$6</c:f>
              <c:numCache>
                <c:formatCode>General</c:formatCode>
                <c:ptCount val="1"/>
                <c:pt idx="0">
                  <c:v>-7.6678260896315251</c:v>
                </c:pt>
              </c:numCache>
            </c:numRef>
          </c:xVal>
          <c:yVal>
            <c:numRef>
              <c:f>'D17Osw and d18Osw'!$P$6</c:f>
              <c:numCache>
                <c:formatCode>General</c:formatCode>
                <c:ptCount val="1"/>
                <c:pt idx="0">
                  <c:v>85.322986814477815</c:v>
                </c:pt>
              </c:numCache>
            </c:numRef>
          </c:yVal>
          <c:smooth val="0"/>
          <c:extLst>
            <c:ext xmlns:c16="http://schemas.microsoft.com/office/drawing/2014/chart" uri="{C3380CC4-5D6E-409C-BE32-E72D297353CC}">
              <c16:uniqueId val="{00000005-CA5D-7540-9504-59580A3D502B}"/>
            </c:ext>
          </c:extLst>
        </c:ser>
        <c:ser>
          <c:idx val="4"/>
          <c:order val="5"/>
          <c:tx>
            <c:v>2.88</c:v>
          </c:tx>
          <c:spPr>
            <a:ln w="25400" cap="rnd">
              <a:noFill/>
              <a:round/>
            </a:ln>
            <a:effectLst/>
          </c:spPr>
          <c:marker>
            <c:symbol val="circle"/>
            <c:size val="5"/>
            <c:spPr>
              <a:solidFill>
                <a:schemeClr val="accent5"/>
              </a:solidFill>
              <a:ln w="9525">
                <a:solidFill>
                  <a:schemeClr val="accent5"/>
                </a:solidFill>
              </a:ln>
              <a:effectLst/>
            </c:spPr>
          </c:marker>
          <c:xVal>
            <c:numRef>
              <c:f>'D17Osw and d18Osw'!$N$7</c:f>
              <c:numCache>
                <c:formatCode>General</c:formatCode>
                <c:ptCount val="1"/>
                <c:pt idx="0">
                  <c:v>-7.0611444977433102</c:v>
                </c:pt>
              </c:numCache>
            </c:numRef>
          </c:xVal>
          <c:yVal>
            <c:numRef>
              <c:f>'D17Osw and d18Osw'!$P$7</c:f>
              <c:numCache>
                <c:formatCode>General</c:formatCode>
                <c:ptCount val="1"/>
                <c:pt idx="0">
                  <c:v>35.721054128269984</c:v>
                </c:pt>
              </c:numCache>
            </c:numRef>
          </c:yVal>
          <c:smooth val="0"/>
          <c:extLst>
            <c:ext xmlns:c16="http://schemas.microsoft.com/office/drawing/2014/chart" uri="{C3380CC4-5D6E-409C-BE32-E72D297353CC}">
              <c16:uniqueId val="{00000006-CA5D-7540-9504-59580A3D502B}"/>
            </c:ext>
          </c:extLst>
        </c:ser>
        <c:ser>
          <c:idx val="5"/>
          <c:order val="6"/>
          <c:tx>
            <c:v>2.87</c:v>
          </c:tx>
          <c:spPr>
            <a:ln w="25400" cap="rnd">
              <a:noFill/>
              <a:round/>
            </a:ln>
            <a:effectLst/>
          </c:spPr>
          <c:marker>
            <c:symbol val="circle"/>
            <c:size val="5"/>
            <c:spPr>
              <a:solidFill>
                <a:srgbClr val="7030A0"/>
              </a:solidFill>
              <a:ln w="9525">
                <a:solidFill>
                  <a:srgbClr val="7030A0"/>
                </a:solidFill>
              </a:ln>
              <a:effectLst/>
            </c:spPr>
          </c:marker>
          <c:xVal>
            <c:numRef>
              <c:f>'D17Osw and d18Osw'!$N$8</c:f>
              <c:numCache>
                <c:formatCode>General</c:formatCode>
                <c:ptCount val="1"/>
                <c:pt idx="0">
                  <c:v>-9.9620392131245481</c:v>
                </c:pt>
              </c:numCache>
            </c:numRef>
          </c:xVal>
          <c:yVal>
            <c:numRef>
              <c:f>'D17Osw and d18Osw'!$P$8</c:f>
              <c:numCache>
                <c:formatCode>General</c:formatCode>
                <c:ptCount val="1"/>
                <c:pt idx="0">
                  <c:v>64.592920184554544</c:v>
                </c:pt>
              </c:numCache>
            </c:numRef>
          </c:yVal>
          <c:smooth val="0"/>
          <c:extLst>
            <c:ext xmlns:c16="http://schemas.microsoft.com/office/drawing/2014/chart" uri="{C3380CC4-5D6E-409C-BE32-E72D297353CC}">
              <c16:uniqueId val="{00000007-CA5D-7540-9504-59580A3D502B}"/>
            </c:ext>
          </c:extLst>
        </c:ser>
        <c:ser>
          <c:idx val="6"/>
          <c:order val="7"/>
          <c:tx>
            <c:v>2.81</c:v>
          </c:tx>
          <c:spPr>
            <a:ln w="25400" cap="rnd">
              <a:noFill/>
              <a:round/>
            </a:ln>
            <a:effectLst/>
          </c:spPr>
          <c:marker>
            <c:symbol val="circle"/>
            <c:size val="5"/>
            <c:spPr>
              <a:solidFill>
                <a:srgbClr val="00FDFF"/>
              </a:solidFill>
              <a:ln w="9525">
                <a:solidFill>
                  <a:srgbClr val="00FDFF"/>
                </a:solidFill>
              </a:ln>
              <a:effectLst/>
            </c:spPr>
          </c:marker>
          <c:xVal>
            <c:numRef>
              <c:f>'D17Osw and d18Osw'!$N$9</c:f>
              <c:numCache>
                <c:formatCode>General</c:formatCode>
                <c:ptCount val="1"/>
                <c:pt idx="0">
                  <c:v>-6.8067329001271988</c:v>
                </c:pt>
              </c:numCache>
            </c:numRef>
          </c:xVal>
          <c:yVal>
            <c:numRef>
              <c:f>'D17Osw and d18Osw'!$P$9</c:f>
              <c:numCache>
                <c:formatCode>General</c:formatCode>
                <c:ptCount val="1"/>
                <c:pt idx="0">
                  <c:v>64.346701072535154</c:v>
                </c:pt>
              </c:numCache>
            </c:numRef>
          </c:yVal>
          <c:smooth val="0"/>
          <c:extLst>
            <c:ext xmlns:c16="http://schemas.microsoft.com/office/drawing/2014/chart" uri="{C3380CC4-5D6E-409C-BE32-E72D297353CC}">
              <c16:uniqueId val="{00000008-CA5D-7540-9504-59580A3D502B}"/>
            </c:ext>
          </c:extLst>
        </c:ser>
        <c:ser>
          <c:idx val="7"/>
          <c:order val="8"/>
          <c:tx>
            <c:v>2.75</c:v>
          </c:tx>
          <c:spPr>
            <a:ln w="25400" cap="rnd">
              <a:noFill/>
              <a:round/>
            </a:ln>
            <a:effectLst/>
          </c:spPr>
          <c:marker>
            <c:symbol val="circle"/>
            <c:size val="5"/>
            <c:spPr>
              <a:solidFill>
                <a:schemeClr val="bg2">
                  <a:lumMod val="90000"/>
                </a:schemeClr>
              </a:solidFill>
              <a:ln w="9525">
                <a:solidFill>
                  <a:schemeClr val="bg2">
                    <a:lumMod val="90000"/>
                  </a:schemeClr>
                </a:solidFill>
              </a:ln>
              <a:effectLst/>
            </c:spPr>
          </c:marker>
          <c:xVal>
            <c:numRef>
              <c:f>'D17Osw and d18Osw'!$N$10</c:f>
              <c:numCache>
                <c:formatCode>General</c:formatCode>
                <c:ptCount val="1"/>
                <c:pt idx="0">
                  <c:v>-11.697659037271094</c:v>
                </c:pt>
              </c:numCache>
            </c:numRef>
          </c:xVal>
          <c:yVal>
            <c:numRef>
              <c:f>'D17Osw and d18Osw'!$P$10</c:f>
              <c:numCache>
                <c:formatCode>General</c:formatCode>
                <c:ptCount val="1"/>
                <c:pt idx="0">
                  <c:v>89.156242589668366</c:v>
                </c:pt>
              </c:numCache>
            </c:numRef>
          </c:yVal>
          <c:smooth val="0"/>
          <c:extLst>
            <c:ext xmlns:c16="http://schemas.microsoft.com/office/drawing/2014/chart" uri="{C3380CC4-5D6E-409C-BE32-E72D297353CC}">
              <c16:uniqueId val="{00000009-CA5D-7540-9504-59580A3D502B}"/>
            </c:ext>
          </c:extLst>
        </c:ser>
        <c:dLbls>
          <c:showLegendKey val="0"/>
          <c:showVal val="0"/>
          <c:showCatName val="0"/>
          <c:showSerName val="0"/>
          <c:showPercent val="0"/>
          <c:showBubbleSize val="0"/>
        </c:dLbls>
        <c:axId val="1723563552"/>
        <c:axId val="1723565280"/>
      </c:scatterChart>
      <c:valAx>
        <c:axId val="1723563552"/>
        <c:scaling>
          <c:orientation val="minMax"/>
          <c:max val="-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US" sz="1050">
                    <a:solidFill>
                      <a:schemeClr val="tx1"/>
                    </a:solidFill>
                  </a:rPr>
                  <a:t>δ</a:t>
                </a:r>
                <a:r>
                  <a:rPr lang="en-US" sz="1050" baseline="30000">
                    <a:solidFill>
                      <a:schemeClr val="tx1"/>
                    </a:solidFill>
                  </a:rPr>
                  <a:t>18</a:t>
                </a:r>
                <a:r>
                  <a:rPr lang="en-US" sz="1050">
                    <a:solidFill>
                      <a:schemeClr val="tx1"/>
                    </a:solidFill>
                  </a:rPr>
                  <a:t>O</a:t>
                </a:r>
                <a:r>
                  <a:rPr lang="en-US" sz="1050" baseline="-25000">
                    <a:solidFill>
                      <a:schemeClr val="tx1"/>
                    </a:solidFill>
                  </a:rPr>
                  <a:t>sw</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723565280"/>
        <c:crossesAt val="-60"/>
        <c:crossBetween val="midCat"/>
      </c:valAx>
      <c:valAx>
        <c:axId val="172356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t>
                </a:r>
                <a:r>
                  <a:rPr lang="en-US" sz="1100" baseline="30000">
                    <a:solidFill>
                      <a:schemeClr val="tx1"/>
                    </a:solidFill>
                  </a:rPr>
                  <a:t>17'</a:t>
                </a:r>
                <a:r>
                  <a:rPr lang="en-US" sz="1100">
                    <a:solidFill>
                      <a:schemeClr val="tx1"/>
                    </a:solidFill>
                  </a:rPr>
                  <a:t>O</a:t>
                </a:r>
                <a:r>
                  <a:rPr lang="en-US" sz="1100" baseline="-25000">
                    <a:solidFill>
                      <a:schemeClr val="tx1"/>
                    </a:solidFill>
                  </a:rPr>
                  <a:t>sw</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23563552"/>
        <c:crossesAt val="-14"/>
        <c:crossBetween val="midCat"/>
      </c:valAx>
      <c:spPr>
        <a:noFill/>
        <a:ln>
          <a:noFill/>
        </a:ln>
        <a:effectLst/>
      </c:spPr>
    </c:plotArea>
    <c:legend>
      <c:legendPos val="r"/>
      <c:layout>
        <c:manualLayout>
          <c:xMode val="edge"/>
          <c:yMode val="edge"/>
          <c:x val="0.90690859813232549"/>
          <c:y val="0.40898953559035289"/>
          <c:w val="7.201519478362689E-2"/>
          <c:h val="0.31074089574400604"/>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'D17Osw and d18Osw'!$AD$31</c:f>
              <c:strCache>
                <c:ptCount val="1"/>
                <c:pt idx="0">
                  <c:v>δ18Osw</c:v>
                </c:pt>
              </c:strCache>
            </c:strRef>
          </c:tx>
          <c:spPr>
            <a:ln w="19050" cap="rnd">
              <a:noFill/>
              <a:round/>
            </a:ln>
            <a:effectLst/>
          </c:spPr>
          <c:marker>
            <c:symbol val="circle"/>
            <c:size val="5"/>
            <c:spPr>
              <a:solidFill>
                <a:schemeClr val="accent1"/>
              </a:solidFill>
              <a:ln w="9525">
                <a:solidFill>
                  <a:schemeClr val="accent1"/>
                </a:solidFill>
              </a:ln>
              <a:effectLst/>
            </c:spPr>
          </c:marker>
          <c:xVal>
            <c:numRef>
              <c:f>'D17Osw and d18Osw'!$B$15:$B$29</c:f>
              <c:numCache>
                <c:formatCode>General</c:formatCode>
                <c:ptCount val="15"/>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pt idx="14" formatCode="0.00">
                  <c:v>2.7518596153846153</c:v>
                </c:pt>
              </c:numCache>
            </c:numRef>
          </c:xVal>
          <c:yVal>
            <c:numRef>
              <c:f>'D17Osw and d18Osw'!$H$15:$H$29</c:f>
              <c:numCache>
                <c:formatCode>General</c:formatCode>
                <c:ptCount val="15"/>
                <c:pt idx="0">
                  <c:v>-7.393779851347972</c:v>
                </c:pt>
                <c:pt idx="1">
                  <c:v>-6.3550950924119434</c:v>
                </c:pt>
                <c:pt idx="2">
                  <c:v>-5.1462783465013899</c:v>
                </c:pt>
                <c:pt idx="3">
                  <c:v>-5.6415303829874119</c:v>
                </c:pt>
                <c:pt idx="4">
                  <c:v>-7.5740465628510947</c:v>
                </c:pt>
                <c:pt idx="5">
                  <c:v>-6.2943499596676702</c:v>
                </c:pt>
                <c:pt idx="6">
                  <c:v>-6.8422263060498381</c:v>
                </c:pt>
                <c:pt idx="7">
                  <c:v>-6.2263394195358615</c:v>
                </c:pt>
                <c:pt idx="8">
                  <c:v>-8.8211963072079698</c:v>
                </c:pt>
                <c:pt idx="9">
                  <c:v>-6.3258511320871094</c:v>
                </c:pt>
                <c:pt idx="10">
                  <c:v>-5.5919156683125948</c:v>
                </c:pt>
                <c:pt idx="11">
                  <c:v>-8.7799330961458963</c:v>
                </c:pt>
                <c:pt idx="12">
                  <c:v>-6.9512358690433302</c:v>
                </c:pt>
                <c:pt idx="13">
                  <c:v>-8.5173702963330697</c:v>
                </c:pt>
                <c:pt idx="14">
                  <c:v>-10.463161221763698</c:v>
                </c:pt>
              </c:numCache>
            </c:numRef>
          </c:yVal>
          <c:smooth val="0"/>
          <c:extLst>
            <c:ext xmlns:c16="http://schemas.microsoft.com/office/drawing/2014/chart" uri="{C3380CC4-5D6E-409C-BE32-E72D297353CC}">
              <c16:uniqueId val="{00000000-F09B-3849-88D4-FBD67E6A9EF1}"/>
            </c:ext>
          </c:extLst>
        </c:ser>
        <c:dLbls>
          <c:showLegendKey val="0"/>
          <c:showVal val="0"/>
          <c:showCatName val="0"/>
          <c:showSerName val="0"/>
          <c:showPercent val="0"/>
          <c:showBubbleSize val="0"/>
        </c:dLbls>
        <c:axId val="1644059296"/>
        <c:axId val="1644064928"/>
      </c:scatterChart>
      <c:scatterChart>
        <c:scatterStyle val="lineMarker"/>
        <c:varyColors val="0"/>
        <c:ser>
          <c:idx val="1"/>
          <c:order val="1"/>
          <c:tx>
            <c:strRef>
              <c:f>'D17Osw and d18Osw'!$AD$30</c:f>
              <c:strCache>
                <c:ptCount val="1"/>
                <c:pt idx="0">
                  <c:v>∆17'Osw</c:v>
                </c:pt>
              </c:strCache>
            </c:strRef>
          </c:tx>
          <c:spPr>
            <a:ln w="25400" cap="rnd">
              <a:noFill/>
              <a:round/>
            </a:ln>
            <a:effectLst/>
          </c:spPr>
          <c:marker>
            <c:symbol val="circle"/>
            <c:size val="5"/>
            <c:spPr>
              <a:solidFill>
                <a:schemeClr val="accent2"/>
              </a:solidFill>
              <a:ln w="9525">
                <a:solidFill>
                  <a:schemeClr val="accent2"/>
                </a:solidFill>
              </a:ln>
              <a:effectLst/>
            </c:spPr>
          </c:marker>
          <c:xVal>
            <c:numRef>
              <c:f>'D17Osw and d18Osw'!$A$2:$A$10</c:f>
              <c:numCache>
                <c:formatCode>General</c:formatCode>
                <c:ptCount val="9"/>
                <c:pt idx="0">
                  <c:v>3.6606406250000001</c:v>
                </c:pt>
                <c:pt idx="1">
                  <c:v>3.45</c:v>
                </c:pt>
                <c:pt idx="2">
                  <c:v>3.2957739130434782</c:v>
                </c:pt>
                <c:pt idx="3">
                  <c:v>3.11913793103448</c:v>
                </c:pt>
                <c:pt idx="4">
                  <c:v>2.9851653846153847</c:v>
                </c:pt>
                <c:pt idx="5">
                  <c:v>2.8810884615384618</c:v>
                </c:pt>
                <c:pt idx="6">
                  <c:v>2.8741500000000002</c:v>
                </c:pt>
                <c:pt idx="7">
                  <c:v>2.8117038461538462</c:v>
                </c:pt>
                <c:pt idx="8">
                  <c:v>2.7518596153846153</c:v>
                </c:pt>
              </c:numCache>
            </c:numRef>
          </c:xVal>
          <c:yVal>
            <c:numRef>
              <c:f>'D17Osw and d18Osw'!$P$2:$P$10</c:f>
              <c:numCache>
                <c:formatCode>General</c:formatCode>
                <c:ptCount val="9"/>
                <c:pt idx="0">
                  <c:v>-4.6309814970095786</c:v>
                </c:pt>
                <c:pt idx="1">
                  <c:v>-35.290249609801982</c:v>
                </c:pt>
                <c:pt idx="2">
                  <c:v>29.270930159349007</c:v>
                </c:pt>
                <c:pt idx="3">
                  <c:v>4.1865352537158174</c:v>
                </c:pt>
                <c:pt idx="4">
                  <c:v>85.322986814477815</c:v>
                </c:pt>
                <c:pt idx="5">
                  <c:v>35.721054128269984</c:v>
                </c:pt>
                <c:pt idx="6">
                  <c:v>64.592920184554544</c:v>
                </c:pt>
                <c:pt idx="7">
                  <c:v>64.346701072535154</c:v>
                </c:pt>
                <c:pt idx="8">
                  <c:v>89.156242589668366</c:v>
                </c:pt>
              </c:numCache>
            </c:numRef>
          </c:yVal>
          <c:smooth val="0"/>
          <c:extLst>
            <c:ext xmlns:c16="http://schemas.microsoft.com/office/drawing/2014/chart" uri="{C3380CC4-5D6E-409C-BE32-E72D297353CC}">
              <c16:uniqueId val="{00000000-F2CD-3548-A38C-847863A73BB6}"/>
            </c:ext>
          </c:extLst>
        </c:ser>
        <c:dLbls>
          <c:showLegendKey val="0"/>
          <c:showVal val="0"/>
          <c:showCatName val="0"/>
          <c:showSerName val="0"/>
          <c:showPercent val="0"/>
          <c:showBubbleSize val="0"/>
        </c:dLbls>
        <c:axId val="2100436496"/>
        <c:axId val="614704351"/>
      </c:scatterChart>
      <c:valAx>
        <c:axId val="1644059296"/>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44064928"/>
        <c:crossesAt val="-60"/>
        <c:crossBetween val="midCat"/>
      </c:valAx>
      <c:valAx>
        <c:axId val="1644064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r>
                  <a:rPr lang="en-US" sz="1100" b="0" i="0" u="none" strike="noStrike" kern="1200" baseline="0">
                    <a:solidFill>
                      <a:schemeClr val="tx1"/>
                    </a:solidFill>
                  </a:rPr>
                  <a:t>δ</a:t>
                </a:r>
                <a:r>
                  <a:rPr lang="en-US" sz="1100" b="0" i="0" u="none" strike="noStrike" kern="1200" baseline="30000">
                    <a:solidFill>
                      <a:schemeClr val="tx1"/>
                    </a:solidFill>
                  </a:rPr>
                  <a:t>18</a:t>
                </a:r>
                <a:r>
                  <a:rPr lang="en-US" sz="1100" b="0" i="0" u="none" strike="noStrike" kern="1200" baseline="0">
                    <a:solidFill>
                      <a:schemeClr val="tx1"/>
                    </a:solidFill>
                  </a:rPr>
                  <a:t>O</a:t>
                </a:r>
                <a:r>
                  <a:rPr lang="en-US" sz="1100" b="0" i="0" u="none" strike="noStrike" kern="1200" baseline="-25000">
                    <a:solidFill>
                      <a:schemeClr val="tx1"/>
                    </a:solidFill>
                  </a:rPr>
                  <a:t>sw</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1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44059296"/>
        <c:crossesAt val="2.4"/>
        <c:crossBetween val="midCat"/>
      </c:valAx>
      <c:valAx>
        <c:axId val="614704351"/>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sz="1100" b="0" i="0" u="none" strike="noStrike" kern="1200" baseline="0">
                    <a:solidFill>
                      <a:schemeClr val="tx1"/>
                    </a:solidFill>
                  </a:rPr>
                  <a:t>∆</a:t>
                </a:r>
                <a:r>
                  <a:rPr lang="en-US" sz="1100" b="0" i="0" u="none" strike="noStrike" kern="1200" baseline="30000">
                    <a:solidFill>
                      <a:schemeClr val="tx1"/>
                    </a:solidFill>
                  </a:rPr>
                  <a:t>17'</a:t>
                </a:r>
                <a:r>
                  <a:rPr lang="en-US" sz="1100" b="0" i="0" u="none" strike="noStrike" kern="1200" baseline="0">
                    <a:solidFill>
                      <a:schemeClr val="tx1"/>
                    </a:solidFill>
                  </a:rPr>
                  <a:t>O</a:t>
                </a:r>
                <a:r>
                  <a:rPr lang="en-US" sz="1100" b="0" i="0" u="none" strike="noStrike" kern="1200" baseline="-25000">
                    <a:solidFill>
                      <a:schemeClr val="tx1"/>
                    </a:solidFill>
                  </a:rPr>
                  <a:t>sw</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2100436496"/>
        <c:crosses val="max"/>
        <c:crossBetween val="midCat"/>
      </c:valAx>
      <c:valAx>
        <c:axId val="2100436496"/>
        <c:scaling>
          <c:orientation val="minMax"/>
        </c:scaling>
        <c:delete val="1"/>
        <c:axPos val="b"/>
        <c:numFmt formatCode="General" sourceLinked="1"/>
        <c:majorTickMark val="out"/>
        <c:minorTickMark val="none"/>
        <c:tickLblPos val="nextTo"/>
        <c:crossAx val="614704351"/>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Shilou</c:v>
          </c:tx>
          <c:spPr>
            <a:ln w="19050" cap="rnd">
              <a:noFill/>
              <a:round/>
            </a:ln>
            <a:effectLst/>
          </c:spPr>
          <c:marker>
            <c:symbol val="circle"/>
            <c:size val="10"/>
            <c:spPr>
              <a:solidFill>
                <a:schemeClr val="accent1"/>
              </a:solidFill>
              <a:ln w="9525">
                <a:solidFill>
                  <a:schemeClr val="accent1"/>
                </a:solidFill>
              </a:ln>
              <a:effectLst/>
            </c:spPr>
          </c:marker>
          <c:xVal>
            <c:numRef>
              <c:f>(Triple_Raw!$T$133,Triple_Raw!$T$146,Triple_Raw!$T$148)</c:f>
            </c:numRef>
          </c:xVal>
          <c:yVal>
            <c:numRef>
              <c:f>(Triple_Raw!$U$133,Triple_Raw!$U$146,Triple_Raw!$U$148)</c:f>
            </c:numRef>
          </c:yVal>
          <c:smooth val="0"/>
          <c:extLst>
            <c:ext xmlns:c16="http://schemas.microsoft.com/office/drawing/2014/chart" uri="{C3380CC4-5D6E-409C-BE32-E72D297353CC}">
              <c16:uniqueId val="{00000000-AF4D-4141-8272-1D1D56010036}"/>
            </c:ext>
          </c:extLst>
        </c:ser>
        <c:ser>
          <c:idx val="1"/>
          <c:order val="1"/>
          <c:tx>
            <c:v>LT</c:v>
          </c:tx>
          <c:spPr>
            <a:ln w="19050" cap="rnd">
              <a:solidFill>
                <a:schemeClr val="accent2"/>
              </a:solidFill>
              <a:round/>
            </a:ln>
            <a:effectLst/>
          </c:spPr>
          <c:marker>
            <c:symbol val="circle"/>
            <c:size val="10"/>
            <c:spPr>
              <a:solidFill>
                <a:schemeClr val="accent2"/>
              </a:solidFill>
              <a:ln w="9525">
                <a:solidFill>
                  <a:schemeClr val="accent2"/>
                </a:solidFill>
              </a:ln>
              <a:effectLst/>
            </c:spPr>
          </c:marker>
          <c:xVal>
            <c:numRef>
              <c:f>(Triple_Raw!$T$118,Triple_Raw!$T$129)</c:f>
            </c:numRef>
          </c:xVal>
          <c:yVal>
            <c:numRef>
              <c:f>(Triple_Raw!$U$118,Triple_Raw!$U$129)</c:f>
            </c:numRef>
          </c:yVal>
          <c:smooth val="0"/>
          <c:extLst>
            <c:ext xmlns:c16="http://schemas.microsoft.com/office/drawing/2014/chart" uri="{C3380CC4-5D6E-409C-BE32-E72D297353CC}">
              <c16:uniqueId val="{00000001-AF4D-4141-8272-1D1D56010036}"/>
            </c:ext>
          </c:extLst>
        </c:ser>
        <c:ser>
          <c:idx val="2"/>
          <c:order val="2"/>
          <c:tx>
            <c:v>Teruel</c:v>
          </c:tx>
          <c:spPr>
            <a:ln w="25400" cap="rnd">
              <a:noFill/>
              <a:round/>
            </a:ln>
            <a:effectLst/>
          </c:spPr>
          <c:marker>
            <c:symbol val="circle"/>
            <c:size val="10"/>
            <c:spPr>
              <a:solidFill>
                <a:schemeClr val="accent3"/>
              </a:solidFill>
              <a:ln w="9525">
                <a:solidFill>
                  <a:schemeClr val="accent3"/>
                </a:solidFill>
              </a:ln>
              <a:effectLst/>
            </c:spPr>
          </c:marker>
          <c:xVal>
            <c:numRef>
              <c:f>(Triple_Raw!$T$121,Triple_Raw!$T$128,Triple_Raw!$T$130,Triple_Raw!$T$134,Triple_Raw!$T$150)</c:f>
            </c:numRef>
          </c:xVal>
          <c:yVal>
            <c:numRef>
              <c:f>(Triple_Raw!$U$121,Triple_Raw!$U$128,Triple_Raw!$U$130,Triple_Raw!$U$134,Triple_Raw!$U$150)</c:f>
            </c:numRef>
          </c:yVal>
          <c:smooth val="0"/>
          <c:extLst>
            <c:ext xmlns:c16="http://schemas.microsoft.com/office/drawing/2014/chart" uri="{C3380CC4-5D6E-409C-BE32-E72D297353CC}">
              <c16:uniqueId val="{00000002-AF4D-4141-8272-1D1D56010036}"/>
            </c:ext>
          </c:extLst>
        </c:ser>
        <c:dLbls>
          <c:showLegendKey val="0"/>
          <c:showVal val="0"/>
          <c:showCatName val="0"/>
          <c:showSerName val="0"/>
          <c:showPercent val="0"/>
          <c:showBubbleSize val="0"/>
        </c:dLbls>
        <c:axId val="464644256"/>
        <c:axId val="1691850415"/>
      </c:scatterChart>
      <c:valAx>
        <c:axId val="464644256"/>
        <c:scaling>
          <c:orientation val="minMax"/>
          <c:max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Breecker d18O</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91850415"/>
        <c:crossesAt val="-12"/>
        <c:crossBetween val="midCat"/>
      </c:valAx>
      <c:valAx>
        <c:axId val="1691850415"/>
        <c:scaling>
          <c:orientation val="minMax"/>
          <c:max val="-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UNM d18O</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64644256"/>
        <c:crossesAt val="-12"/>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v>Teruel</c:v>
          </c:tx>
          <c:spPr>
            <a:ln w="25400" cap="rnd">
              <a:noFill/>
              <a:round/>
            </a:ln>
            <a:effectLst/>
          </c:spPr>
          <c:marker>
            <c:symbol val="circle"/>
            <c:size val="10"/>
            <c:spPr>
              <a:solidFill>
                <a:schemeClr val="accent2"/>
              </a:solidFill>
              <a:ln w="9525">
                <a:solidFill>
                  <a:schemeClr val="accent2"/>
                </a:solidFill>
              </a:ln>
              <a:effectLst/>
            </c:spPr>
          </c:marker>
          <c:xVal>
            <c:numRef>
              <c:f>(Triple_Raw!$U$121,Triple_Raw!$U$128,Triple_Raw!$U$130,Triple_Raw!$U$134,Triple_Raw!$U$150)</c:f>
            </c:numRef>
          </c:xVal>
          <c:yVal>
            <c:numRef>
              <c:f>(Triple_Raw!$S$121,Triple_Raw!$S$128,Triple_Raw!$S$130,Triple_Raw!$S$134,Triple_Raw!$S$150)</c:f>
            </c:numRef>
          </c:yVal>
          <c:smooth val="0"/>
          <c:extLst>
            <c:ext xmlns:c16="http://schemas.microsoft.com/office/drawing/2014/chart" uri="{C3380CC4-5D6E-409C-BE32-E72D297353CC}">
              <c16:uniqueId val="{00000001-4652-B647-910C-24231E519976}"/>
            </c:ext>
          </c:extLst>
        </c:ser>
        <c:dLbls>
          <c:showLegendKey val="0"/>
          <c:showVal val="0"/>
          <c:showCatName val="0"/>
          <c:showSerName val="0"/>
          <c:showPercent val="0"/>
          <c:showBubbleSize val="0"/>
        </c:dLbls>
        <c:axId val="1654257615"/>
        <c:axId val="493469312"/>
      </c:scatterChart>
      <c:valAx>
        <c:axId val="1654257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d18O</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493469312"/>
        <c:crossesAt val="-12"/>
        <c:crossBetween val="midCat"/>
      </c:valAx>
      <c:valAx>
        <c:axId val="493469312"/>
        <c:scaling>
          <c:orientation val="minMax"/>
          <c:max val="0"/>
          <c:min val="-0.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a:t>D'17O</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654257615"/>
        <c:crossesAt val="-12"/>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Carrara</c:v>
          </c:tx>
          <c:spPr>
            <a:ln w="19050" cap="rnd">
              <a:noFill/>
              <a:round/>
            </a:ln>
            <a:effectLst/>
          </c:spPr>
          <c:marker>
            <c:symbol val="circle"/>
            <c:size val="5"/>
            <c:spPr>
              <a:solidFill>
                <a:schemeClr val="accent1"/>
              </a:solidFill>
              <a:ln w="9525">
                <a:solidFill>
                  <a:schemeClr val="accent1"/>
                </a:solidFill>
              </a:ln>
              <a:effectLst/>
            </c:spPr>
          </c:marker>
          <c:xVal>
            <c:numRef>
              <c:f>Triple_Raw!$L$28:$L$44</c:f>
              <c:numCache>
                <c:formatCode>0.00</c:formatCode>
                <c:ptCount val="11"/>
                <c:pt idx="0">
                  <c:v>5.1399999999999864</c:v>
                </c:pt>
                <c:pt idx="1">
                  <c:v>3.5799999999999841</c:v>
                </c:pt>
                <c:pt idx="2">
                  <c:v>5.2800000000000296</c:v>
                </c:pt>
                <c:pt idx="3">
                  <c:v>2.4599999999999795</c:v>
                </c:pt>
                <c:pt idx="4">
                  <c:v>4.4399999999999977</c:v>
                </c:pt>
                <c:pt idx="5">
                  <c:v>6.9699999999999704</c:v>
                </c:pt>
                <c:pt idx="6">
                  <c:v>6.8299999999999841</c:v>
                </c:pt>
                <c:pt idx="7">
                  <c:v>1.2800000000000296</c:v>
                </c:pt>
                <c:pt idx="8">
                  <c:v>6.6599999999999682</c:v>
                </c:pt>
                <c:pt idx="9">
                  <c:v>2.3199999999999932</c:v>
                </c:pt>
                <c:pt idx="10">
                  <c:v>5.8499999999999659</c:v>
                </c:pt>
              </c:numCache>
            </c:numRef>
          </c:xVal>
          <c:yVal>
            <c:numRef>
              <c:f>Triple_Raw!$AA$28:$AA$44</c:f>
              <c:numCache>
                <c:formatCode>0.0000</c:formatCode>
                <c:ptCount val="11"/>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pt idx="10">
                  <c:v>-6.8682623060785986E-2</c:v>
                </c:pt>
              </c:numCache>
            </c:numRef>
          </c:yVal>
          <c:smooth val="0"/>
          <c:extLst>
            <c:ext xmlns:c16="http://schemas.microsoft.com/office/drawing/2014/chart" uri="{C3380CC4-5D6E-409C-BE32-E72D297353CC}">
              <c16:uniqueId val="{00000000-1769-8140-B6D1-2C1E07D173E8}"/>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Triple_Raw!$L$8:$L$19</c:f>
              <c:numCache>
                <c:formatCode>0.00</c:formatCode>
                <c:ptCount val="12"/>
                <c:pt idx="0">
                  <c:v>7.0999999999999659</c:v>
                </c:pt>
                <c:pt idx="1">
                  <c:v>3.8899999999999864</c:v>
                </c:pt>
                <c:pt idx="3">
                  <c:v>4.4600000000000364</c:v>
                </c:pt>
                <c:pt idx="4">
                  <c:v>2.0099999999999909</c:v>
                </c:pt>
                <c:pt idx="6">
                  <c:v>3.6499999999999773</c:v>
                </c:pt>
                <c:pt idx="7">
                  <c:v>-1.0699999999999932</c:v>
                </c:pt>
                <c:pt idx="8">
                  <c:v>2.9300000000000068</c:v>
                </c:pt>
                <c:pt idx="9">
                  <c:v>2.0299999999999727</c:v>
                </c:pt>
                <c:pt idx="11">
                  <c:v>4.2799999999999727</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1769-8140-B6D1-2C1E07D173E8}"/>
            </c:ext>
          </c:extLst>
        </c:ser>
        <c:dLbls>
          <c:showLegendKey val="0"/>
          <c:showVal val="0"/>
          <c:showCatName val="0"/>
          <c:showSerName val="0"/>
          <c:showPercent val="0"/>
          <c:showBubbleSize val="0"/>
        </c:dLbls>
        <c:axId val="1496043616"/>
        <c:axId val="1496045344"/>
      </c:scatterChart>
      <c:valAx>
        <c:axId val="1496043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mixi ratio (sam-ref)</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5344"/>
        <c:crosses val="autoZero"/>
        <c:crossBetween val="midCat"/>
      </c:valAx>
      <c:valAx>
        <c:axId val="149604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36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Carrara</c:v>
          </c:tx>
          <c:spPr>
            <a:ln w="19050" cap="rnd">
              <a:noFill/>
              <a:round/>
            </a:ln>
            <a:effectLst/>
          </c:spPr>
          <c:marker>
            <c:symbol val="circle"/>
            <c:size val="5"/>
            <c:spPr>
              <a:solidFill>
                <a:schemeClr val="accent1"/>
              </a:solidFill>
              <a:ln w="9525">
                <a:solidFill>
                  <a:schemeClr val="accent1"/>
                </a:solidFill>
              </a:ln>
              <a:effectLst/>
            </c:spPr>
          </c:marker>
          <c:xVal>
            <c:numRef>
              <c:f>Triple_Raw!$AF$28:$AF$43</c:f>
              <c:numCache>
                <c:formatCode>General</c:formatCode>
                <c:ptCount val="10"/>
                <c:pt idx="1">
                  <c:v>1010.1351351351352</c:v>
                </c:pt>
                <c:pt idx="2">
                  <c:v>1091.06529209622</c:v>
                </c:pt>
                <c:pt idx="3">
                  <c:v>890.93959731543623</c:v>
                </c:pt>
                <c:pt idx="4">
                  <c:v>1015.9574468085108</c:v>
                </c:pt>
                <c:pt idx="5">
                  <c:v>735.82295988934993</c:v>
                </c:pt>
                <c:pt idx="6">
                  <c:v>644.72049689440985</c:v>
                </c:pt>
                <c:pt idx="7">
                  <c:v>595.53349875930519</c:v>
                </c:pt>
                <c:pt idx="9">
                  <c:v>752.78121137206426</c:v>
                </c:pt>
              </c:numCache>
            </c:numRef>
          </c:xVal>
          <c:yVal>
            <c:numRef>
              <c:f>Triple_Raw!$AA$28:$AA$43</c:f>
              <c:numCache>
                <c:formatCode>0.0000</c:formatCode>
                <c:ptCount val="10"/>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numCache>
            </c:numRef>
          </c:yVal>
          <c:smooth val="0"/>
          <c:extLst>
            <c:ext xmlns:c16="http://schemas.microsoft.com/office/drawing/2014/chart" uri="{C3380CC4-5D6E-409C-BE32-E72D297353CC}">
              <c16:uniqueId val="{00000000-CBB1-F84C-9CF3-C3D46332EE86}"/>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Triple_Raw!$AF$8:$AF$19</c:f>
              <c:numCache>
                <c:formatCode>General</c:formatCode>
                <c:ptCount val="12"/>
                <c:pt idx="0">
                  <c:v>875.42087542087552</c:v>
                </c:pt>
                <c:pt idx="1">
                  <c:v>904.36241610738261</c:v>
                </c:pt>
                <c:pt idx="3">
                  <c:v>1017.8571428571428</c:v>
                </c:pt>
                <c:pt idx="4">
                  <c:v>1258.9928057553955</c:v>
                </c:pt>
                <c:pt idx="6">
                  <c:v>942.44604316546759</c:v>
                </c:pt>
                <c:pt idx="7">
                  <c:v>828.07017543859661</c:v>
                </c:pt>
                <c:pt idx="8">
                  <c:v>831.10367892976592</c:v>
                </c:pt>
                <c:pt idx="9">
                  <c:v>1005.0167224080268</c:v>
                </c:pt>
                <c:pt idx="10">
                  <c:v>712.80276816609</c:v>
                </c:pt>
                <c:pt idx="11">
                  <c:v>929.82456140350882</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CBB1-F84C-9CF3-C3D46332EE86}"/>
            </c:ext>
          </c:extLst>
        </c:ser>
        <c:dLbls>
          <c:showLegendKey val="0"/>
          <c:showVal val="0"/>
          <c:showCatName val="0"/>
          <c:showSerName val="0"/>
          <c:showPercent val="0"/>
          <c:showBubbleSize val="0"/>
        </c:dLbls>
        <c:axId val="1496043616"/>
        <c:axId val="1496045344"/>
      </c:scatterChart>
      <c:valAx>
        <c:axId val="14960436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 mixi ratio (sam-ref)</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5344"/>
        <c:crosses val="autoZero"/>
        <c:crossBetween val="midCat"/>
      </c:valAx>
      <c:valAx>
        <c:axId val="149604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04361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Triple_Raw!$A$28:$A$55</c:f>
              <c:numCache>
                <c:formatCode>m/d/yy</c:formatCode>
                <c:ptCount val="22"/>
                <c:pt idx="0">
                  <c:v>45234.416666666664</c:v>
                </c:pt>
                <c:pt idx="1">
                  <c:v>45234.583333333336</c:v>
                </c:pt>
                <c:pt idx="2">
                  <c:v>45234.833333333336</c:v>
                </c:pt>
                <c:pt idx="3">
                  <c:v>45235.833333333336</c:v>
                </c:pt>
                <c:pt idx="4">
                  <c:v>45235.947916666664</c:v>
                </c:pt>
                <c:pt idx="5">
                  <c:v>45238.847916666666</c:v>
                </c:pt>
                <c:pt idx="6">
                  <c:v>45239.083333333336</c:v>
                </c:pt>
                <c:pt idx="7">
                  <c:v>45239.4375</c:v>
                </c:pt>
                <c:pt idx="8">
                  <c:v>45239.597222222219</c:v>
                </c:pt>
                <c:pt idx="9">
                  <c:v>45239.875</c:v>
                </c:pt>
                <c:pt idx="10">
                  <c:v>45240.135416666664</c:v>
                </c:pt>
                <c:pt idx="11">
                  <c:v>45240.621527777781</c:v>
                </c:pt>
                <c:pt idx="12">
                  <c:v>45240.927083333336</c:v>
                </c:pt>
                <c:pt idx="13">
                  <c:v>45241.208333333336</c:v>
                </c:pt>
                <c:pt idx="14">
                  <c:v>45241.267361111109</c:v>
                </c:pt>
                <c:pt idx="15">
                  <c:v>45241.520833333336</c:v>
                </c:pt>
                <c:pt idx="16">
                  <c:v>45241.795138888891</c:v>
                </c:pt>
                <c:pt idx="17">
                  <c:v>45242.0625</c:v>
                </c:pt>
                <c:pt idx="18">
                  <c:v>45242.083333333336</c:v>
                </c:pt>
                <c:pt idx="19">
                  <c:v>45242.286111111112</c:v>
                </c:pt>
                <c:pt idx="20">
                  <c:v>45242.590277777781</c:v>
                </c:pt>
                <c:pt idx="21">
                  <c:v>45242.861111111109</c:v>
                </c:pt>
              </c:numCache>
            </c:numRef>
          </c:xVal>
          <c:yVal>
            <c:numRef>
              <c:f>Triple_Raw!$AA$28:$AA$55</c:f>
              <c:numCache>
                <c:formatCode>0.0000</c:formatCode>
                <c:ptCount val="22"/>
                <c:pt idx="0">
                  <c:v>-0.1169105584232657</c:v>
                </c:pt>
                <c:pt idx="1">
                  <c:v>-8.3482465630341451E-2</c:v>
                </c:pt>
                <c:pt idx="2">
                  <c:v>-0.16397515921152106</c:v>
                </c:pt>
                <c:pt idx="3">
                  <c:v>-0.11234131233357658</c:v>
                </c:pt>
                <c:pt idx="4">
                  <c:v>-0.1358192682189916</c:v>
                </c:pt>
                <c:pt idx="5">
                  <c:v>-0.1358192682189916</c:v>
                </c:pt>
                <c:pt idx="6">
                  <c:v>-0.11404895918906455</c:v>
                </c:pt>
                <c:pt idx="7">
                  <c:v>-8.3319525466006183E-2</c:v>
                </c:pt>
                <c:pt idx="8">
                  <c:v>-0.14897720564978378</c:v>
                </c:pt>
                <c:pt idx="9">
                  <c:v>-8.0897013691540565E-2</c:v>
                </c:pt>
                <c:pt idx="10">
                  <c:v>-6.8682623060785986E-2</c:v>
                </c:pt>
                <c:pt idx="11">
                  <c:v>-9.9354355257950999E-2</c:v>
                </c:pt>
                <c:pt idx="12">
                  <c:v>-0.10751971134992466</c:v>
                </c:pt>
                <c:pt idx="13">
                  <c:v>-8.9581676230277907E-2</c:v>
                </c:pt>
                <c:pt idx="14">
                  <c:v>-5.9335946335606238E-2</c:v>
                </c:pt>
                <c:pt idx="15">
                  <c:v>-8.9740147537035853E-2</c:v>
                </c:pt>
                <c:pt idx="16">
                  <c:v>-8.368532069870227E-2</c:v>
                </c:pt>
                <c:pt idx="18">
                  <c:v>-8.5158384388590136E-2</c:v>
                </c:pt>
                <c:pt idx="19">
                  <c:v>-0.10369906725619771</c:v>
                </c:pt>
                <c:pt idx="20">
                  <c:v>-0.1161905525332827</c:v>
                </c:pt>
                <c:pt idx="21">
                  <c:v>-4.7468192094481054E-2</c:v>
                </c:pt>
              </c:numCache>
            </c:numRef>
          </c:yVal>
          <c:smooth val="0"/>
          <c:extLst>
            <c:ext xmlns:c16="http://schemas.microsoft.com/office/drawing/2014/chart" uri="{C3380CC4-5D6E-409C-BE32-E72D297353CC}">
              <c16:uniqueId val="{00000000-647C-014F-8756-2F6F72871CDA}"/>
            </c:ext>
          </c:extLst>
        </c:ser>
        <c:ser>
          <c:idx val="1"/>
          <c:order val="1"/>
          <c:tx>
            <c:v>NBS19</c:v>
          </c:tx>
          <c:spPr>
            <a:ln w="25400" cap="rnd">
              <a:noFill/>
              <a:round/>
            </a:ln>
            <a:effectLst/>
          </c:spPr>
          <c:marker>
            <c:symbol val="circle"/>
            <c:size val="5"/>
            <c:spPr>
              <a:solidFill>
                <a:schemeClr val="accent2"/>
              </a:solidFill>
              <a:ln w="9525">
                <a:solidFill>
                  <a:schemeClr val="accent2"/>
                </a:solidFill>
              </a:ln>
              <a:effectLst/>
            </c:spPr>
          </c:marker>
          <c:xVal>
            <c:numRef>
              <c:f>Triple_Raw!$A$8:$A$19</c:f>
              <c:numCache>
                <c:formatCode>m/d/yy</c:formatCode>
                <c:ptCount val="12"/>
                <c:pt idx="0">
                  <c:v>45234.291666666664</c:v>
                </c:pt>
                <c:pt idx="1">
                  <c:v>45234.354166666664</c:v>
                </c:pt>
                <c:pt idx="2">
                  <c:v>45234</c:v>
                </c:pt>
                <c:pt idx="3">
                  <c:v>45235.114583333336</c:v>
                </c:pt>
                <c:pt idx="4">
                  <c:v>45235.513888888891</c:v>
                </c:pt>
                <c:pt idx="5">
                  <c:v>45236.177083333336</c:v>
                </c:pt>
                <c:pt idx="6">
                  <c:v>45236.197916666664</c:v>
                </c:pt>
                <c:pt idx="7">
                  <c:v>45236.600694444445</c:v>
                </c:pt>
                <c:pt idx="8">
                  <c:v>45236.659722222219</c:v>
                </c:pt>
                <c:pt idx="9">
                  <c:v>45238.104166666664</c:v>
                </c:pt>
                <c:pt idx="10">
                  <c:v>45238.576388888891</c:v>
                </c:pt>
                <c:pt idx="11">
                  <c:v>45238.588194444441</c:v>
                </c:pt>
              </c:numCache>
            </c:numRef>
          </c:xVal>
          <c:yVal>
            <c:numRef>
              <c:f>Triple_Raw!$AA$8:$AA$19</c:f>
              <c:numCache>
                <c:formatCode>0.0000</c:formatCode>
                <c:ptCount val="12"/>
                <c:pt idx="0">
                  <c:v>-0.14886126718622705</c:v>
                </c:pt>
                <c:pt idx="1">
                  <c:v>-6.5139501086159513E-2</c:v>
                </c:pt>
                <c:pt idx="3">
                  <c:v>-4.4371164677253105E-2</c:v>
                </c:pt>
                <c:pt idx="4">
                  <c:v>-0.1090874792607277</c:v>
                </c:pt>
                <c:pt idx="6">
                  <c:v>-8.5617977972072268E-2</c:v>
                </c:pt>
                <c:pt idx="8">
                  <c:v>-0.15568057515730338</c:v>
                </c:pt>
                <c:pt idx="9">
                  <c:v>-9.4404182547622284E-2</c:v>
                </c:pt>
                <c:pt idx="11">
                  <c:v>-0.11283129820161442</c:v>
                </c:pt>
              </c:numCache>
            </c:numRef>
          </c:yVal>
          <c:smooth val="0"/>
          <c:extLst>
            <c:ext xmlns:c16="http://schemas.microsoft.com/office/drawing/2014/chart" uri="{C3380CC4-5D6E-409C-BE32-E72D297353CC}">
              <c16:uniqueId val="{00000001-647C-014F-8756-2F6F72871CDA}"/>
            </c:ext>
          </c:extLst>
        </c:ser>
        <c:dLbls>
          <c:showLegendKey val="0"/>
          <c:showVal val="0"/>
          <c:showCatName val="0"/>
          <c:showSerName val="0"/>
          <c:showPercent val="0"/>
          <c:showBubbleSize val="0"/>
        </c:dLbls>
        <c:axId val="1807983376"/>
        <c:axId val="1807990192"/>
      </c:scatterChart>
      <c:valAx>
        <c:axId val="1807983376"/>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90192"/>
        <c:crosses val="autoZero"/>
        <c:crossBetween val="midCat"/>
      </c:valAx>
      <c:valAx>
        <c:axId val="180799019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7983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Triple_Statistics!$D$2:$D$16</c:f>
              <c:numCache>
                <c:formatCode>General</c:formatCode>
                <c:ptCount val="15"/>
                <c:pt idx="0">
                  <c:v>-5.5393053369396466</c:v>
                </c:pt>
                <c:pt idx="1">
                  <c:v>-5.9399070358522339</c:v>
                </c:pt>
                <c:pt idx="2">
                  <c:v>-6.7471298972346405</c:v>
                </c:pt>
                <c:pt idx="3">
                  <c:v>-5.8445185700688835</c:v>
                </c:pt>
                <c:pt idx="4">
                  <c:v>-6.1005066239583252</c:v>
                </c:pt>
                <c:pt idx="5">
                  <c:v>-11.997984443827274</c:v>
                </c:pt>
                <c:pt idx="6">
                  <c:v>-6.3009080650416003</c:v>
                </c:pt>
                <c:pt idx="7">
                  <c:v>-6.0083948950243196</c:v>
                </c:pt>
                <c:pt idx="8">
                  <c:v>-6.5947607156010735</c:v>
                </c:pt>
                <c:pt idx="9">
                  <c:v>-5.7583130087328804</c:v>
                </c:pt>
                <c:pt idx="10">
                  <c:v>-6.7120365232187247</c:v>
                </c:pt>
                <c:pt idx="11">
                  <c:v>-6.9953311514361225</c:v>
                </c:pt>
                <c:pt idx="12">
                  <c:v>-5.4613286885794157</c:v>
                </c:pt>
                <c:pt idx="13">
                  <c:v>-6.1913121643426265</c:v>
                </c:pt>
                <c:pt idx="14">
                  <c:v>-6.2251408609878309</c:v>
                </c:pt>
              </c:numCache>
            </c:numRef>
          </c:xVal>
          <c:yVal>
            <c:numRef>
              <c:f>Triple_Statistics!$G$2:$G$16</c:f>
              <c:numCache>
                <c:formatCode>General</c:formatCode>
                <c:ptCount val="15"/>
                <c:pt idx="0">
                  <c:v>-0.10148398555457661</c:v>
                </c:pt>
                <c:pt idx="1">
                  <c:v>-0.14523617110539089</c:v>
                </c:pt>
                <c:pt idx="2">
                  <c:v>-9.2077604860147488E-2</c:v>
                </c:pt>
                <c:pt idx="3">
                  <c:v>-7.6437176003685423E-2</c:v>
                </c:pt>
                <c:pt idx="4">
                  <c:v>-0.11312626393413971</c:v>
                </c:pt>
                <c:pt idx="5">
                  <c:v>1.0162198398897093E-2</c:v>
                </c:pt>
                <c:pt idx="6">
                  <c:v>-7.1248097580689063E-2</c:v>
                </c:pt>
                <c:pt idx="7">
                  <c:v>-0.15665622144722668</c:v>
                </c:pt>
                <c:pt idx="8">
                  <c:v>-5.9911245870401419E-2</c:v>
                </c:pt>
                <c:pt idx="9">
                  <c:v>-0.14900033753449282</c:v>
                </c:pt>
                <c:pt idx="10">
                  <c:v>-0.10575728840298027</c:v>
                </c:pt>
                <c:pt idx="11">
                  <c:v>-8.8486929756288912E-2</c:v>
                </c:pt>
                <c:pt idx="12">
                  <c:v>-8.9660979774365046E-2</c:v>
                </c:pt>
                <c:pt idx="13">
                  <c:v>-8.2966029861732515E-2</c:v>
                </c:pt>
                <c:pt idx="14">
                  <c:v>-8.6958902534765528E-2</c:v>
                </c:pt>
              </c:numCache>
            </c:numRef>
          </c:yVal>
          <c:smooth val="0"/>
          <c:extLst>
            <c:ext xmlns:c16="http://schemas.microsoft.com/office/drawing/2014/chart" uri="{C3380CC4-5D6E-409C-BE32-E72D297353CC}">
              <c16:uniqueId val="{00000000-E2B1-6C4F-AA62-66A8F9543F34}"/>
            </c:ext>
          </c:extLst>
        </c:ser>
        <c:dLbls>
          <c:showLegendKey val="0"/>
          <c:showVal val="0"/>
          <c:showCatName val="0"/>
          <c:showSerName val="0"/>
          <c:showPercent val="0"/>
          <c:showBubbleSize val="0"/>
        </c:dLbls>
        <c:axId val="1382391120"/>
        <c:axId val="1382392848"/>
      </c:scatterChart>
      <c:valAx>
        <c:axId val="1382391120"/>
        <c:scaling>
          <c:orientation val="minMax"/>
          <c:max val="-5"/>
          <c:min val="-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d18O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2848"/>
        <c:crossesAt val="-0.18"/>
        <c:crossBetween val="midCat"/>
      </c:valAx>
      <c:valAx>
        <c:axId val="138239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1120"/>
        <c:crossesAt val="-13"/>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tx>
            <c:strRef>
              <c:f>Triple_Statistics!$B$2</c:f>
              <c:strCache>
                <c:ptCount val="1"/>
                <c:pt idx="0">
                  <c:v>3.81</c:v>
                </c:pt>
              </c:strCache>
            </c:strRef>
          </c:tx>
          <c:spPr>
            <a:ln w="19050" cap="rnd">
              <a:noFill/>
              <a:round/>
            </a:ln>
            <a:effectLst/>
          </c:spPr>
          <c:marker>
            <c:symbol val="circle"/>
            <c:size val="5"/>
            <c:spPr>
              <a:solidFill>
                <a:srgbClr val="FF0000"/>
              </a:solidFill>
              <a:ln w="9525">
                <a:solidFill>
                  <a:srgbClr val="FF0000"/>
                </a:solidFill>
              </a:ln>
              <a:effectLst/>
            </c:spPr>
          </c:marker>
          <c:dPt>
            <c:idx val="0"/>
            <c:marker>
              <c:symbol val="circle"/>
              <c:size val="5"/>
              <c:spPr>
                <a:solidFill>
                  <a:srgbClr val="FF0000"/>
                </a:solidFill>
                <a:ln w="9525">
                  <a:solidFill>
                    <a:srgbClr val="FF0000"/>
                  </a:solidFill>
                </a:ln>
                <a:effectLst/>
              </c:spPr>
            </c:marker>
            <c:bubble3D val="0"/>
            <c:spPr>
              <a:ln w="25400" cap="rnd">
                <a:noFill/>
                <a:round/>
              </a:ln>
              <a:effectLst/>
            </c:spPr>
            <c:extLst>
              <c:ext xmlns:c16="http://schemas.microsoft.com/office/drawing/2014/chart" uri="{C3380CC4-5D6E-409C-BE32-E72D297353CC}">
                <c16:uniqueId val="{00000001-AAA9-294F-A614-A13367EBB1CB}"/>
              </c:ext>
            </c:extLst>
          </c:dPt>
          <c:xVal>
            <c:numRef>
              <c:f>Triple_Statistics!$D$2</c:f>
              <c:numCache>
                <c:formatCode>General</c:formatCode>
                <c:ptCount val="1"/>
                <c:pt idx="0">
                  <c:v>-5.5393053369396466</c:v>
                </c:pt>
              </c:numCache>
            </c:numRef>
          </c:xVal>
          <c:yVal>
            <c:numRef>
              <c:f>Triple_Statistics!$G$2</c:f>
              <c:numCache>
                <c:formatCode>General</c:formatCode>
                <c:ptCount val="1"/>
                <c:pt idx="0">
                  <c:v>-0.10148398555457661</c:v>
                </c:pt>
              </c:numCache>
            </c:numRef>
          </c:yVal>
          <c:smooth val="0"/>
          <c:extLst>
            <c:ext xmlns:c16="http://schemas.microsoft.com/office/drawing/2014/chart" uri="{C3380CC4-5D6E-409C-BE32-E72D297353CC}">
              <c16:uniqueId val="{00000000-7FDC-374D-BA6B-5EC8F3F87AF7}"/>
            </c:ext>
          </c:extLst>
        </c:ser>
        <c:ser>
          <c:idx val="2"/>
          <c:order val="1"/>
          <c:tx>
            <c:strRef>
              <c:f>Triple_Statistics!$B$3</c:f>
              <c:strCache>
                <c:ptCount val="1"/>
                <c:pt idx="0">
                  <c:v>3.66</c:v>
                </c:pt>
              </c:strCache>
            </c:strRef>
          </c:tx>
          <c:spPr>
            <a:ln w="25400" cap="rnd">
              <a:noFill/>
              <a:round/>
            </a:ln>
            <a:effectLst/>
          </c:spPr>
          <c:marker>
            <c:symbol val="circle"/>
            <c:size val="5"/>
            <c:spPr>
              <a:solidFill>
                <a:srgbClr val="FF7E79"/>
              </a:solidFill>
              <a:ln w="9525">
                <a:solidFill>
                  <a:srgbClr val="FF7E79"/>
                </a:solidFill>
              </a:ln>
              <a:effectLst/>
            </c:spPr>
          </c:marker>
          <c:xVal>
            <c:numRef>
              <c:f>Triple_Statistics!$D$3</c:f>
              <c:numCache>
                <c:formatCode>General</c:formatCode>
                <c:ptCount val="1"/>
                <c:pt idx="0">
                  <c:v>-5.9399070358522339</c:v>
                </c:pt>
              </c:numCache>
            </c:numRef>
          </c:xVal>
          <c:yVal>
            <c:numRef>
              <c:f>Triple_Statistics!$G$3</c:f>
              <c:numCache>
                <c:formatCode>General</c:formatCode>
                <c:ptCount val="1"/>
                <c:pt idx="0">
                  <c:v>-0.14523617110539089</c:v>
                </c:pt>
              </c:numCache>
            </c:numRef>
          </c:yVal>
          <c:smooth val="0"/>
          <c:extLst>
            <c:ext xmlns:c16="http://schemas.microsoft.com/office/drawing/2014/chart" uri="{C3380CC4-5D6E-409C-BE32-E72D297353CC}">
              <c16:uniqueId val="{00000001-7FDC-374D-BA6B-5EC8F3F87AF7}"/>
            </c:ext>
          </c:extLst>
        </c:ser>
        <c:ser>
          <c:idx val="3"/>
          <c:order val="2"/>
          <c:tx>
            <c:strRef>
              <c:f>Triple_Statistics!$B$4</c:f>
              <c:strCache>
                <c:ptCount val="1"/>
                <c:pt idx="0">
                  <c:v>3.45</c:v>
                </c:pt>
              </c:strCache>
            </c:strRef>
          </c:tx>
          <c:spPr>
            <a:ln w="25400" cap="rnd">
              <a:noFill/>
              <a:round/>
            </a:ln>
            <a:effectLst/>
          </c:spPr>
          <c:marker>
            <c:symbol val="circle"/>
            <c:size val="5"/>
            <c:spPr>
              <a:solidFill>
                <a:srgbClr val="FF9300"/>
              </a:solidFill>
              <a:ln w="9525">
                <a:solidFill>
                  <a:srgbClr val="FF9300"/>
                </a:solidFill>
              </a:ln>
              <a:effectLst/>
            </c:spPr>
          </c:marker>
          <c:xVal>
            <c:numRef>
              <c:f>Triple_Statistics!$D$4</c:f>
              <c:numCache>
                <c:formatCode>General</c:formatCode>
                <c:ptCount val="1"/>
                <c:pt idx="0">
                  <c:v>-6.7471298972346405</c:v>
                </c:pt>
              </c:numCache>
            </c:numRef>
          </c:xVal>
          <c:yVal>
            <c:numRef>
              <c:f>Triple_Statistics!$G$4</c:f>
              <c:numCache>
                <c:formatCode>General</c:formatCode>
                <c:ptCount val="1"/>
                <c:pt idx="0">
                  <c:v>-9.2077604860147488E-2</c:v>
                </c:pt>
              </c:numCache>
            </c:numRef>
          </c:yVal>
          <c:smooth val="0"/>
          <c:extLst>
            <c:ext xmlns:c16="http://schemas.microsoft.com/office/drawing/2014/chart" uri="{C3380CC4-5D6E-409C-BE32-E72D297353CC}">
              <c16:uniqueId val="{00000002-7FDC-374D-BA6B-5EC8F3F87AF7}"/>
            </c:ext>
          </c:extLst>
        </c:ser>
        <c:ser>
          <c:idx val="4"/>
          <c:order val="3"/>
          <c:tx>
            <c:strRef>
              <c:f>Triple_Statistics!$B$5</c:f>
              <c:strCache>
                <c:ptCount val="1"/>
                <c:pt idx="0">
                  <c:v>3.40</c:v>
                </c:pt>
              </c:strCache>
            </c:strRef>
          </c:tx>
          <c:spPr>
            <a:ln w="25400" cap="rnd">
              <a:noFill/>
              <a:round/>
            </a:ln>
            <a:effectLst/>
          </c:spPr>
          <c:marker>
            <c:symbol val="circle"/>
            <c:size val="5"/>
            <c:spPr>
              <a:solidFill>
                <a:schemeClr val="accent2">
                  <a:lumMod val="75000"/>
                </a:schemeClr>
              </a:solidFill>
              <a:ln w="9525">
                <a:solidFill>
                  <a:schemeClr val="accent2">
                    <a:lumMod val="75000"/>
                  </a:schemeClr>
                </a:solidFill>
              </a:ln>
              <a:effectLst/>
            </c:spPr>
          </c:marker>
          <c:xVal>
            <c:numRef>
              <c:f>Triple_Statistics!$D$5</c:f>
              <c:numCache>
                <c:formatCode>General</c:formatCode>
                <c:ptCount val="1"/>
                <c:pt idx="0">
                  <c:v>-5.8445185700688835</c:v>
                </c:pt>
              </c:numCache>
            </c:numRef>
          </c:xVal>
          <c:yVal>
            <c:numRef>
              <c:f>Triple_Statistics!$G$5</c:f>
              <c:numCache>
                <c:formatCode>General</c:formatCode>
                <c:ptCount val="1"/>
                <c:pt idx="0">
                  <c:v>-7.6437176003685423E-2</c:v>
                </c:pt>
              </c:numCache>
            </c:numRef>
          </c:yVal>
          <c:smooth val="0"/>
          <c:extLst>
            <c:ext xmlns:c16="http://schemas.microsoft.com/office/drawing/2014/chart" uri="{C3380CC4-5D6E-409C-BE32-E72D297353CC}">
              <c16:uniqueId val="{00000003-7FDC-374D-BA6B-5EC8F3F87AF7}"/>
            </c:ext>
          </c:extLst>
        </c:ser>
        <c:ser>
          <c:idx val="5"/>
          <c:order val="4"/>
          <c:tx>
            <c:strRef>
              <c:f>Triple_Statistics!$B$6</c:f>
              <c:strCache>
                <c:ptCount val="1"/>
                <c:pt idx="0">
                  <c:v>3.30</c:v>
                </c:pt>
              </c:strCache>
            </c:strRef>
          </c:tx>
          <c:spPr>
            <a:ln w="25400" cap="rnd">
              <a:noFill/>
              <a:round/>
            </a:ln>
            <a:effectLst/>
          </c:spPr>
          <c:marker>
            <c:symbol val="circle"/>
            <c:size val="5"/>
            <c:spPr>
              <a:solidFill>
                <a:srgbClr val="FFFF00"/>
              </a:solidFill>
              <a:ln w="9525">
                <a:solidFill>
                  <a:srgbClr val="FFFC00"/>
                </a:solidFill>
              </a:ln>
              <a:effectLst/>
            </c:spPr>
          </c:marker>
          <c:xVal>
            <c:numRef>
              <c:f>Triple_Statistics!$D$6</c:f>
              <c:numCache>
                <c:formatCode>General</c:formatCode>
                <c:ptCount val="1"/>
                <c:pt idx="0">
                  <c:v>-6.1005066239583252</c:v>
                </c:pt>
              </c:numCache>
            </c:numRef>
          </c:xVal>
          <c:yVal>
            <c:numRef>
              <c:f>Triple_Statistics!$G$6</c:f>
              <c:numCache>
                <c:formatCode>General</c:formatCode>
                <c:ptCount val="1"/>
                <c:pt idx="0">
                  <c:v>-0.11312626393413971</c:v>
                </c:pt>
              </c:numCache>
            </c:numRef>
          </c:yVal>
          <c:smooth val="0"/>
          <c:extLst>
            <c:ext xmlns:c16="http://schemas.microsoft.com/office/drawing/2014/chart" uri="{C3380CC4-5D6E-409C-BE32-E72D297353CC}">
              <c16:uniqueId val="{00000004-7FDC-374D-BA6B-5EC8F3F87AF7}"/>
            </c:ext>
          </c:extLst>
        </c:ser>
        <c:ser>
          <c:idx val="7"/>
          <c:order val="5"/>
          <c:tx>
            <c:strRef>
              <c:f>Triple_Statistics!$B$8</c:f>
              <c:strCache>
                <c:ptCount val="1"/>
                <c:pt idx="0">
                  <c:v>3.23</c:v>
                </c:pt>
              </c:strCache>
            </c:strRef>
          </c:tx>
          <c:spPr>
            <a:ln w="25400" cap="rnd">
              <a:noFill/>
              <a:round/>
            </a:ln>
            <a:effectLst/>
          </c:spPr>
          <c:marker>
            <c:symbol val="circle"/>
            <c:size val="5"/>
            <c:spPr>
              <a:solidFill>
                <a:schemeClr val="accent4">
                  <a:lumMod val="60000"/>
                  <a:lumOff val="40000"/>
                </a:schemeClr>
              </a:solidFill>
              <a:ln w="9525">
                <a:solidFill>
                  <a:schemeClr val="accent4">
                    <a:lumMod val="60000"/>
                    <a:lumOff val="40000"/>
                  </a:schemeClr>
                </a:solidFill>
              </a:ln>
              <a:effectLst/>
            </c:spPr>
          </c:marker>
          <c:xVal>
            <c:numRef>
              <c:f>Triple_Statistics!$D$8</c:f>
              <c:numCache>
                <c:formatCode>General</c:formatCode>
                <c:ptCount val="1"/>
                <c:pt idx="0">
                  <c:v>-6.3009080650416003</c:v>
                </c:pt>
              </c:numCache>
            </c:numRef>
          </c:xVal>
          <c:yVal>
            <c:numRef>
              <c:f>Triple_Statistics!$G$8</c:f>
              <c:numCache>
                <c:formatCode>General</c:formatCode>
                <c:ptCount val="1"/>
                <c:pt idx="0">
                  <c:v>-7.1248097580689063E-2</c:v>
                </c:pt>
              </c:numCache>
            </c:numRef>
          </c:yVal>
          <c:smooth val="0"/>
          <c:extLst>
            <c:ext xmlns:c16="http://schemas.microsoft.com/office/drawing/2014/chart" uri="{C3380CC4-5D6E-409C-BE32-E72D297353CC}">
              <c16:uniqueId val="{00000006-7FDC-374D-BA6B-5EC8F3F87AF7}"/>
            </c:ext>
          </c:extLst>
        </c:ser>
        <c:ser>
          <c:idx val="8"/>
          <c:order val="6"/>
          <c:tx>
            <c:strRef>
              <c:f>Triple_Statistics!$B$9</c:f>
              <c:strCache>
                <c:ptCount val="1"/>
                <c:pt idx="0">
                  <c:v>3.12</c:v>
                </c:pt>
              </c:strCache>
            </c:strRef>
          </c:tx>
          <c:spPr>
            <a:ln w="25400" cap="rnd">
              <a:noFill/>
              <a:round/>
            </a:ln>
            <a:effectLst/>
          </c:spPr>
          <c:marker>
            <c:symbol val="circle"/>
            <c:size val="5"/>
            <c:spPr>
              <a:solidFill>
                <a:schemeClr val="accent6">
                  <a:lumMod val="40000"/>
                  <a:lumOff val="60000"/>
                </a:schemeClr>
              </a:solidFill>
              <a:ln w="9525">
                <a:solidFill>
                  <a:schemeClr val="accent6">
                    <a:lumMod val="40000"/>
                    <a:lumOff val="60000"/>
                  </a:schemeClr>
                </a:solidFill>
              </a:ln>
              <a:effectLst/>
            </c:spPr>
          </c:marker>
          <c:xVal>
            <c:numRef>
              <c:f>Triple_Statistics!$D$9</c:f>
              <c:numCache>
                <c:formatCode>General</c:formatCode>
                <c:ptCount val="1"/>
                <c:pt idx="0">
                  <c:v>-6.0083948950243196</c:v>
                </c:pt>
              </c:numCache>
            </c:numRef>
          </c:xVal>
          <c:yVal>
            <c:numRef>
              <c:f>Triple_Statistics!$G$9</c:f>
              <c:numCache>
                <c:formatCode>General</c:formatCode>
                <c:ptCount val="1"/>
                <c:pt idx="0">
                  <c:v>-0.15665622144722668</c:v>
                </c:pt>
              </c:numCache>
            </c:numRef>
          </c:yVal>
          <c:smooth val="0"/>
          <c:extLst>
            <c:ext xmlns:c16="http://schemas.microsoft.com/office/drawing/2014/chart" uri="{C3380CC4-5D6E-409C-BE32-E72D297353CC}">
              <c16:uniqueId val="{00000007-7FDC-374D-BA6B-5EC8F3F87AF7}"/>
            </c:ext>
          </c:extLst>
        </c:ser>
        <c:ser>
          <c:idx val="9"/>
          <c:order val="7"/>
          <c:tx>
            <c:strRef>
              <c:f>Triple_Statistics!$B$10</c:f>
              <c:strCache>
                <c:ptCount val="1"/>
                <c:pt idx="0">
                  <c:v>2.99</c:v>
                </c:pt>
              </c:strCache>
            </c:strRef>
          </c:tx>
          <c:spPr>
            <a:ln w="25400" cap="rnd">
              <a:noFill/>
              <a:round/>
            </a:ln>
            <a:effectLst/>
          </c:spPr>
          <c:marker>
            <c:symbol val="circle"/>
            <c:size val="5"/>
            <c:spPr>
              <a:solidFill>
                <a:schemeClr val="accent6"/>
              </a:solidFill>
              <a:ln w="9525">
                <a:solidFill>
                  <a:schemeClr val="accent6"/>
                </a:solidFill>
              </a:ln>
              <a:effectLst/>
            </c:spPr>
          </c:marker>
          <c:xVal>
            <c:numRef>
              <c:f>Triple_Statistics!$D$10</c:f>
              <c:numCache>
                <c:formatCode>General</c:formatCode>
                <c:ptCount val="1"/>
                <c:pt idx="0">
                  <c:v>-6.5947607156010735</c:v>
                </c:pt>
              </c:numCache>
            </c:numRef>
          </c:xVal>
          <c:yVal>
            <c:numRef>
              <c:f>Triple_Statistics!$G$10</c:f>
              <c:numCache>
                <c:formatCode>General</c:formatCode>
                <c:ptCount val="1"/>
                <c:pt idx="0">
                  <c:v>-5.9911245870401419E-2</c:v>
                </c:pt>
              </c:numCache>
            </c:numRef>
          </c:yVal>
          <c:smooth val="0"/>
          <c:extLst>
            <c:ext xmlns:c16="http://schemas.microsoft.com/office/drawing/2014/chart" uri="{C3380CC4-5D6E-409C-BE32-E72D297353CC}">
              <c16:uniqueId val="{00000008-7FDC-374D-BA6B-5EC8F3F87AF7}"/>
            </c:ext>
          </c:extLst>
        </c:ser>
        <c:ser>
          <c:idx val="10"/>
          <c:order val="8"/>
          <c:tx>
            <c:strRef>
              <c:f>Triple_Statistics!$B$11</c:f>
              <c:strCache>
                <c:ptCount val="1"/>
                <c:pt idx="0">
                  <c:v>2.94</c:v>
                </c:pt>
              </c:strCache>
            </c:strRef>
          </c:tx>
          <c:spPr>
            <a:ln w="25400" cap="rnd">
              <a:no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Triple_Statistics!$D$11</c:f>
              <c:numCache>
                <c:formatCode>General</c:formatCode>
                <c:ptCount val="1"/>
                <c:pt idx="0">
                  <c:v>-5.7583130087328804</c:v>
                </c:pt>
              </c:numCache>
            </c:numRef>
          </c:xVal>
          <c:yVal>
            <c:numRef>
              <c:f>Triple_Statistics!$G$11</c:f>
              <c:numCache>
                <c:formatCode>General</c:formatCode>
                <c:ptCount val="1"/>
                <c:pt idx="0">
                  <c:v>-0.14900033753449282</c:v>
                </c:pt>
              </c:numCache>
            </c:numRef>
          </c:yVal>
          <c:smooth val="0"/>
          <c:extLst>
            <c:ext xmlns:c16="http://schemas.microsoft.com/office/drawing/2014/chart" uri="{C3380CC4-5D6E-409C-BE32-E72D297353CC}">
              <c16:uniqueId val="{00000009-7FDC-374D-BA6B-5EC8F3F87AF7}"/>
            </c:ext>
          </c:extLst>
        </c:ser>
        <c:ser>
          <c:idx val="11"/>
          <c:order val="9"/>
          <c:tx>
            <c:strRef>
              <c:f>Triple_Statistics!$B$12</c:f>
              <c:strCache>
                <c:ptCount val="1"/>
                <c:pt idx="0">
                  <c:v>2.88</c:v>
                </c:pt>
              </c:strCache>
            </c:strRef>
          </c:tx>
          <c:spPr>
            <a:ln w="25400" cap="rnd">
              <a:noFill/>
              <a:round/>
            </a:ln>
            <a:effectLst/>
          </c:spPr>
          <c:marker>
            <c:symbol val="circle"/>
            <c:size val="5"/>
            <c:spPr>
              <a:solidFill>
                <a:srgbClr val="426197"/>
              </a:solidFill>
              <a:ln w="9525">
                <a:solidFill>
                  <a:srgbClr val="426197"/>
                </a:solidFill>
              </a:ln>
              <a:effectLst/>
            </c:spPr>
          </c:marker>
          <c:xVal>
            <c:numRef>
              <c:f>Triple_Statistics!$D$12</c:f>
              <c:numCache>
                <c:formatCode>General</c:formatCode>
                <c:ptCount val="1"/>
                <c:pt idx="0">
                  <c:v>-6.7120365232187247</c:v>
                </c:pt>
              </c:numCache>
            </c:numRef>
          </c:xVal>
          <c:yVal>
            <c:numRef>
              <c:f>Triple_Statistics!$G$12</c:f>
              <c:numCache>
                <c:formatCode>General</c:formatCode>
                <c:ptCount val="1"/>
                <c:pt idx="0">
                  <c:v>-0.10575728840298027</c:v>
                </c:pt>
              </c:numCache>
            </c:numRef>
          </c:yVal>
          <c:smooth val="0"/>
          <c:extLst>
            <c:ext xmlns:c16="http://schemas.microsoft.com/office/drawing/2014/chart" uri="{C3380CC4-5D6E-409C-BE32-E72D297353CC}">
              <c16:uniqueId val="{0000000A-7FDC-374D-BA6B-5EC8F3F87AF7}"/>
            </c:ext>
          </c:extLst>
        </c:ser>
        <c:ser>
          <c:idx val="12"/>
          <c:order val="10"/>
          <c:tx>
            <c:strRef>
              <c:f>Triple_Statistics!$B$13</c:f>
              <c:strCache>
                <c:ptCount val="1"/>
                <c:pt idx="0">
                  <c:v>2.87</c:v>
                </c:pt>
              </c:strCache>
            </c:strRef>
          </c:tx>
          <c:spPr>
            <a:ln w="25400" cap="rnd">
              <a:noFill/>
              <a:round/>
            </a:ln>
            <a:effectLst/>
          </c:spPr>
          <c:marker>
            <c:symbol val="circle"/>
            <c:size val="5"/>
            <c:spPr>
              <a:solidFill>
                <a:srgbClr val="D883FF"/>
              </a:solidFill>
              <a:ln w="9525">
                <a:solidFill>
                  <a:srgbClr val="D883FF"/>
                </a:solidFill>
              </a:ln>
              <a:effectLst/>
            </c:spPr>
          </c:marker>
          <c:xVal>
            <c:numRef>
              <c:f>Triple_Statistics!$D$13</c:f>
              <c:numCache>
                <c:formatCode>General</c:formatCode>
                <c:ptCount val="1"/>
                <c:pt idx="0">
                  <c:v>-6.9953311514361225</c:v>
                </c:pt>
              </c:numCache>
            </c:numRef>
          </c:xVal>
          <c:yVal>
            <c:numRef>
              <c:f>Triple_Statistics!$G$13</c:f>
              <c:numCache>
                <c:formatCode>General</c:formatCode>
                <c:ptCount val="1"/>
                <c:pt idx="0">
                  <c:v>-8.8486929756288912E-2</c:v>
                </c:pt>
              </c:numCache>
            </c:numRef>
          </c:yVal>
          <c:smooth val="0"/>
          <c:extLst>
            <c:ext xmlns:c16="http://schemas.microsoft.com/office/drawing/2014/chart" uri="{C3380CC4-5D6E-409C-BE32-E72D297353CC}">
              <c16:uniqueId val="{0000000B-7FDC-374D-BA6B-5EC8F3F87AF7}"/>
            </c:ext>
          </c:extLst>
        </c:ser>
        <c:ser>
          <c:idx val="13"/>
          <c:order val="11"/>
          <c:tx>
            <c:strRef>
              <c:f>Triple_Statistics!$B$14</c:f>
              <c:strCache>
                <c:ptCount val="1"/>
                <c:pt idx="0">
                  <c:v>2.81</c:v>
                </c:pt>
              </c:strCache>
            </c:strRef>
          </c:tx>
          <c:spPr>
            <a:ln w="25400" cap="rnd">
              <a:noFill/>
              <a:round/>
            </a:ln>
            <a:effectLst/>
          </c:spPr>
          <c:marker>
            <c:symbol val="circle"/>
            <c:size val="5"/>
            <c:spPr>
              <a:solidFill>
                <a:srgbClr val="7030A0"/>
              </a:solidFill>
              <a:ln w="9525">
                <a:solidFill>
                  <a:srgbClr val="7030A0"/>
                </a:solidFill>
              </a:ln>
              <a:effectLst/>
            </c:spPr>
          </c:marker>
          <c:xVal>
            <c:numRef>
              <c:f>Triple_Statistics!$D$14</c:f>
              <c:numCache>
                <c:formatCode>General</c:formatCode>
                <c:ptCount val="1"/>
                <c:pt idx="0">
                  <c:v>-5.4613286885794157</c:v>
                </c:pt>
              </c:numCache>
            </c:numRef>
          </c:xVal>
          <c:yVal>
            <c:numRef>
              <c:f>Triple_Statistics!$G$14</c:f>
              <c:numCache>
                <c:formatCode>General</c:formatCode>
                <c:ptCount val="1"/>
                <c:pt idx="0">
                  <c:v>-8.9660979774365046E-2</c:v>
                </c:pt>
              </c:numCache>
            </c:numRef>
          </c:yVal>
          <c:smooth val="0"/>
          <c:extLst>
            <c:ext xmlns:c16="http://schemas.microsoft.com/office/drawing/2014/chart" uri="{C3380CC4-5D6E-409C-BE32-E72D297353CC}">
              <c16:uniqueId val="{0000000C-7FDC-374D-BA6B-5EC8F3F87AF7}"/>
            </c:ext>
          </c:extLst>
        </c:ser>
        <c:ser>
          <c:idx val="14"/>
          <c:order val="12"/>
          <c:tx>
            <c:strRef>
              <c:f>Triple_Statistics!$B$15</c:f>
              <c:strCache>
                <c:ptCount val="1"/>
                <c:pt idx="0">
                  <c:v>2.75</c:v>
                </c:pt>
              </c:strCache>
            </c:strRef>
          </c:tx>
          <c:spPr>
            <a:ln w="25400" cap="rnd">
              <a:noFill/>
              <a:round/>
            </a:ln>
            <a:effectLst/>
          </c:spPr>
          <c:marker>
            <c:symbol val="circle"/>
            <c:size val="5"/>
            <c:spPr>
              <a:solidFill>
                <a:srgbClr val="011893"/>
              </a:solidFill>
              <a:ln w="9525">
                <a:solidFill>
                  <a:srgbClr val="011893"/>
                </a:solidFill>
              </a:ln>
              <a:effectLst/>
            </c:spPr>
          </c:marker>
          <c:xVal>
            <c:numRef>
              <c:f>Triple_Statistics!$D$15</c:f>
              <c:numCache>
                <c:formatCode>General</c:formatCode>
                <c:ptCount val="1"/>
                <c:pt idx="0">
                  <c:v>-6.1913121643426265</c:v>
                </c:pt>
              </c:numCache>
            </c:numRef>
          </c:xVal>
          <c:yVal>
            <c:numRef>
              <c:f>Triple_Statistics!$G$15</c:f>
              <c:numCache>
                <c:formatCode>General</c:formatCode>
                <c:ptCount val="1"/>
                <c:pt idx="0">
                  <c:v>-8.2966029861732515E-2</c:v>
                </c:pt>
              </c:numCache>
            </c:numRef>
          </c:yVal>
          <c:smooth val="0"/>
          <c:extLst>
            <c:ext xmlns:c16="http://schemas.microsoft.com/office/drawing/2014/chart" uri="{C3380CC4-5D6E-409C-BE32-E72D297353CC}">
              <c16:uniqueId val="{0000000D-7FDC-374D-BA6B-5EC8F3F87AF7}"/>
            </c:ext>
          </c:extLst>
        </c:ser>
        <c:ser>
          <c:idx val="15"/>
          <c:order val="13"/>
          <c:tx>
            <c:strRef>
              <c:f>Triple_Statistics!$B$16</c:f>
              <c:strCache>
                <c:ptCount val="1"/>
                <c:pt idx="0">
                  <c:v>2.68</c:v>
                </c:pt>
              </c:strCache>
            </c:strRef>
          </c:tx>
          <c:spPr>
            <a:ln w="25400" cap="rnd">
              <a:noFill/>
              <a:round/>
            </a:ln>
            <a:effectLst/>
          </c:spPr>
          <c:marker>
            <c:symbol val="circle"/>
            <c:size val="5"/>
            <c:spPr>
              <a:solidFill>
                <a:srgbClr val="00FDFF"/>
              </a:solidFill>
              <a:ln w="9525">
                <a:solidFill>
                  <a:srgbClr val="00FDFF"/>
                </a:solidFill>
              </a:ln>
              <a:effectLst/>
            </c:spPr>
          </c:marker>
          <c:xVal>
            <c:numRef>
              <c:f>Triple_Statistics!$D$16</c:f>
              <c:numCache>
                <c:formatCode>General</c:formatCode>
                <c:ptCount val="1"/>
                <c:pt idx="0">
                  <c:v>-6.2251408609878309</c:v>
                </c:pt>
              </c:numCache>
            </c:numRef>
          </c:xVal>
          <c:yVal>
            <c:numRef>
              <c:f>Triple_Statistics!$G$16</c:f>
              <c:numCache>
                <c:formatCode>General</c:formatCode>
                <c:ptCount val="1"/>
                <c:pt idx="0">
                  <c:v>-8.6958902534765528E-2</c:v>
                </c:pt>
              </c:numCache>
            </c:numRef>
          </c:yVal>
          <c:smooth val="0"/>
          <c:extLst>
            <c:ext xmlns:c16="http://schemas.microsoft.com/office/drawing/2014/chart" uri="{C3380CC4-5D6E-409C-BE32-E72D297353CC}">
              <c16:uniqueId val="{0000000E-7FDC-374D-BA6B-5EC8F3F87AF7}"/>
            </c:ext>
          </c:extLst>
        </c:ser>
        <c:dLbls>
          <c:showLegendKey val="0"/>
          <c:showVal val="0"/>
          <c:showCatName val="0"/>
          <c:showSerName val="0"/>
          <c:showPercent val="0"/>
          <c:showBubbleSize val="0"/>
        </c:dLbls>
        <c:axId val="1382391120"/>
        <c:axId val="1382392848"/>
      </c:scatterChart>
      <c:valAx>
        <c:axId val="1382391120"/>
        <c:scaling>
          <c:orientation val="minMax"/>
          <c:max val="-5"/>
          <c:min val="-8"/>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d18O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2848"/>
        <c:crossesAt val="-0.18"/>
        <c:crossBetween val="midCat"/>
      </c:valAx>
      <c:valAx>
        <c:axId val="1382392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D17'O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91120"/>
        <c:crossesAt val="-13"/>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Triple_Statistics!$B$2:$B$16</c:f>
              <c:numCache>
                <c:formatCode>0.00</c:formatCode>
                <c:ptCount val="15"/>
                <c:pt idx="0">
                  <c:v>3.812084375</c:v>
                </c:pt>
                <c:pt idx="1">
                  <c:v>3.6606406250000001</c:v>
                </c:pt>
                <c:pt idx="2">
                  <c:v>3.4483498920086393</c:v>
                </c:pt>
                <c:pt idx="3">
                  <c:v>3.3966436285097195</c:v>
                </c:pt>
                <c:pt idx="4">
                  <c:v>3.2957739130434782</c:v>
                </c:pt>
                <c:pt idx="5">
                  <c:v>3.2893565217391303</c:v>
                </c:pt>
                <c:pt idx="6">
                  <c:v>3.2315999999999998</c:v>
                </c:pt>
                <c:pt idx="7">
                  <c:v>3.1191379310344827</c:v>
                </c:pt>
                <c:pt idx="8">
                  <c:v>2.9851653846153847</c:v>
                </c:pt>
                <c:pt idx="9">
                  <c:v>2.9400653846153846</c:v>
                </c:pt>
                <c:pt idx="10">
                  <c:v>2.8810884615384618</c:v>
                </c:pt>
                <c:pt idx="11">
                  <c:v>2.8741500000000002</c:v>
                </c:pt>
                <c:pt idx="12">
                  <c:v>2.8117038461538462</c:v>
                </c:pt>
                <c:pt idx="13">
                  <c:v>2.7518596153846153</c:v>
                </c:pt>
                <c:pt idx="14">
                  <c:v>2.6764038461538462</c:v>
                </c:pt>
              </c:numCache>
            </c:numRef>
          </c:xVal>
          <c:yVal>
            <c:numRef>
              <c:f>Triple_Statistics!$G$2:$G$16</c:f>
              <c:numCache>
                <c:formatCode>General</c:formatCode>
                <c:ptCount val="15"/>
                <c:pt idx="0">
                  <c:v>-0.10148398555457661</c:v>
                </c:pt>
                <c:pt idx="1">
                  <c:v>-0.14523617110539089</c:v>
                </c:pt>
                <c:pt idx="2">
                  <c:v>-9.2077604860147488E-2</c:v>
                </c:pt>
                <c:pt idx="3">
                  <c:v>-7.6437176003685423E-2</c:v>
                </c:pt>
                <c:pt idx="4">
                  <c:v>-0.11312626393413971</c:v>
                </c:pt>
                <c:pt idx="5">
                  <c:v>1.0162198398897093E-2</c:v>
                </c:pt>
                <c:pt idx="6">
                  <c:v>-7.1248097580689063E-2</c:v>
                </c:pt>
                <c:pt idx="7">
                  <c:v>-0.15665622144722668</c:v>
                </c:pt>
                <c:pt idx="8">
                  <c:v>-5.9911245870401419E-2</c:v>
                </c:pt>
                <c:pt idx="9">
                  <c:v>-0.14900033753449282</c:v>
                </c:pt>
                <c:pt idx="10">
                  <c:v>-0.10575728840298027</c:v>
                </c:pt>
                <c:pt idx="11">
                  <c:v>-8.8486929756288912E-2</c:v>
                </c:pt>
                <c:pt idx="12">
                  <c:v>-8.9660979774365046E-2</c:v>
                </c:pt>
                <c:pt idx="13">
                  <c:v>-8.2966029861732515E-2</c:v>
                </c:pt>
                <c:pt idx="14">
                  <c:v>-8.6958902534765528E-2</c:v>
                </c:pt>
              </c:numCache>
            </c:numRef>
          </c:yVal>
          <c:smooth val="0"/>
          <c:extLst>
            <c:ext xmlns:c16="http://schemas.microsoft.com/office/drawing/2014/chart" uri="{C3380CC4-5D6E-409C-BE32-E72D297353CC}">
              <c16:uniqueId val="{00000000-4B3B-454F-BC56-DFB134147DD6}"/>
            </c:ext>
          </c:extLst>
        </c:ser>
        <c:dLbls>
          <c:showLegendKey val="0"/>
          <c:showVal val="0"/>
          <c:showCatName val="0"/>
          <c:showSerName val="0"/>
          <c:showPercent val="0"/>
          <c:showBubbleSize val="0"/>
        </c:dLbls>
        <c:axId val="1262869664"/>
        <c:axId val="1263358848"/>
      </c:scatterChart>
      <c:valAx>
        <c:axId val="1262869664"/>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358848"/>
        <c:crossesAt val="-0.18"/>
        <c:crossBetween val="midCat"/>
      </c:valAx>
      <c:valAx>
        <c:axId val="1263358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869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Outliers Removed</a:t>
            </a:r>
          </a:p>
        </c:rich>
      </c:tx>
      <c:overlay val="0"/>
      <c:spPr>
        <a:noFill/>
        <a:ln>
          <a:noFill/>
        </a:ln>
        <a:effectLst/>
      </c:spPr>
    </c:title>
    <c:autoTitleDeleted val="0"/>
    <c:plotArea>
      <c:layout/>
      <c:scatterChart>
        <c:scatterStyle val="lineMarker"/>
        <c:varyColors val="0"/>
        <c:ser>
          <c:idx val="0"/>
          <c:order val="0"/>
          <c:tx>
            <c:v>Villalba Alta </c:v>
          </c:tx>
          <c:spPr>
            <a:ln w="19050"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plus>
            <c:min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minus>
            <c:spPr>
              <a:noFill/>
              <a:ln w="9525" cap="flat" cmpd="sng" algn="ctr">
                <a:solidFill>
                  <a:schemeClr val="tx1">
                    <a:lumMod val="65000"/>
                    <a:lumOff val="35000"/>
                  </a:schemeClr>
                </a:solidFill>
                <a:round/>
              </a:ln>
              <a:effectLst/>
            </c:spPr>
          </c:errBars>
          <c:xVal>
            <c:numRef>
              <c:f>Clumped_graphs!$A$3:$A$45</c:f>
              <c:numCache>
                <c:formatCode>0.00</c:formatCode>
                <c:ptCount val="43"/>
                <c:pt idx="0">
                  <c:v>3.9598343750000002</c:v>
                </c:pt>
                <c:pt idx="1">
                  <c:v>3.911815625</c:v>
                </c:pt>
                <c:pt idx="2">
                  <c:v>3.8859593750000001</c:v>
                </c:pt>
                <c:pt idx="3">
                  <c:v>3.8748781250000004</c:v>
                </c:pt>
                <c:pt idx="4">
                  <c:v>3.8637968750000002</c:v>
                </c:pt>
                <c:pt idx="5">
                  <c:v>3.8305531250000002</c:v>
                </c:pt>
                <c:pt idx="6">
                  <c:v>3.812084375</c:v>
                </c:pt>
                <c:pt idx="7">
                  <c:v>3.7936156250000002</c:v>
                </c:pt>
                <c:pt idx="8">
                  <c:v>3.7308218750000002</c:v>
                </c:pt>
                <c:pt idx="9">
                  <c:v>3.6606406250000001</c:v>
                </c:pt>
                <c:pt idx="10">
                  <c:v>3.5770410367170626</c:v>
                </c:pt>
                <c:pt idx="11">
                  <c:v>3.4931619870410366</c:v>
                </c:pt>
                <c:pt idx="12">
                  <c:v>3.4736285097192225</c:v>
                </c:pt>
                <c:pt idx="13">
                  <c:v>3.4483498920086393</c:v>
                </c:pt>
                <c:pt idx="14">
                  <c:v>3.4311144708423327</c:v>
                </c:pt>
                <c:pt idx="15">
                  <c:v>3.4110064794816415</c:v>
                </c:pt>
                <c:pt idx="16">
                  <c:v>3.3966436285097195</c:v>
                </c:pt>
                <c:pt idx="17">
                  <c:v>3.3702159827213825</c:v>
                </c:pt>
                <c:pt idx="18">
                  <c:v>3.2957739130434782</c:v>
                </c:pt>
                <c:pt idx="19">
                  <c:v>3.2925652173913043</c:v>
                </c:pt>
                <c:pt idx="20">
                  <c:v>3.2893565217391303</c:v>
                </c:pt>
                <c:pt idx="21">
                  <c:v>3.2872173913043476</c:v>
                </c:pt>
                <c:pt idx="22">
                  <c:v>3.2840086956521741</c:v>
                </c:pt>
                <c:pt idx="23">
                  <c:v>3.2588739130434781</c:v>
                </c:pt>
                <c:pt idx="24">
                  <c:v>3.2428304347826087</c:v>
                </c:pt>
                <c:pt idx="25">
                  <c:v>3.2315999999999998</c:v>
                </c:pt>
                <c:pt idx="26">
                  <c:v>3.2187652173913044</c:v>
                </c:pt>
                <c:pt idx="27">
                  <c:v>3.1191379310344827</c:v>
                </c:pt>
                <c:pt idx="28">
                  <c:v>2.9851653846153847</c:v>
                </c:pt>
                <c:pt idx="29">
                  <c:v>2.9686865384615384</c:v>
                </c:pt>
                <c:pt idx="30">
                  <c:v>2.9400653846153846</c:v>
                </c:pt>
                <c:pt idx="31">
                  <c:v>2.8845576923076921</c:v>
                </c:pt>
                <c:pt idx="32">
                  <c:v>2.8810884615384618</c:v>
                </c:pt>
                <c:pt idx="33">
                  <c:v>2.8776192307692305</c:v>
                </c:pt>
                <c:pt idx="34">
                  <c:v>2.8741500000000002</c:v>
                </c:pt>
                <c:pt idx="35">
                  <c:v>2.8368557692307692</c:v>
                </c:pt>
                <c:pt idx="36">
                  <c:v>2.8117038461538462</c:v>
                </c:pt>
                <c:pt idx="37">
                  <c:v>2.7839499999999999</c:v>
                </c:pt>
                <c:pt idx="38">
                  <c:v>2.7614000000000001</c:v>
                </c:pt>
                <c:pt idx="39">
                  <c:v>2.7518596153846153</c:v>
                </c:pt>
                <c:pt idx="40">
                  <c:v>2.7336461538461538</c:v>
                </c:pt>
                <c:pt idx="41">
                  <c:v>2.7327788461538463</c:v>
                </c:pt>
                <c:pt idx="42">
                  <c:v>2.6764038461538462</c:v>
                </c:pt>
              </c:numCache>
            </c:numRef>
          </c:xVal>
          <c:yVal>
            <c:numRef>
              <c:f>Clumped_graphs!$B$3:$B$45</c:f>
              <c:numCache>
                <c:formatCode>0.000</c:formatCode>
                <c:ptCount val="43"/>
                <c:pt idx="0">
                  <c:v>-5.6341197112937511</c:v>
                </c:pt>
                <c:pt idx="1">
                  <c:v>-6.1207700676048713</c:v>
                </c:pt>
                <c:pt idx="3">
                  <c:v>-5.9770460676086303</c:v>
                </c:pt>
                <c:pt idx="4">
                  <c:v>-5.3154240103900179</c:v>
                </c:pt>
                <c:pt idx="5">
                  <c:v>-5.3938098606121132</c:v>
                </c:pt>
                <c:pt idx="6">
                  <c:v>-6.0964527061163025</c:v>
                </c:pt>
                <c:pt idx="7">
                  <c:v>-5.1287225490471151</c:v>
                </c:pt>
                <c:pt idx="8">
                  <c:v>-5.8153775524083722</c:v>
                </c:pt>
                <c:pt idx="9">
                  <c:v>-5.8769222089864259</c:v>
                </c:pt>
                <c:pt idx="10">
                  <c:v>-4.9955435671037431</c:v>
                </c:pt>
                <c:pt idx="11">
                  <c:v>-5.6447951453113889</c:v>
                </c:pt>
                <c:pt idx="12">
                  <c:v>-6.1800768774603441</c:v>
                </c:pt>
                <c:pt idx="13">
                  <c:v>-6.3563824488304048</c:v>
                </c:pt>
                <c:pt idx="14">
                  <c:v>-6.3356143481518625</c:v>
                </c:pt>
                <c:pt idx="15">
                  <c:v>-5.6165101798409696</c:v>
                </c:pt>
                <c:pt idx="16">
                  <c:v>-5.7480646369819777</c:v>
                </c:pt>
                <c:pt idx="17">
                  <c:v>-5.1447417743551851</c:v>
                </c:pt>
                <c:pt idx="18">
                  <c:v>-5.2232716704822924</c:v>
                </c:pt>
                <c:pt idx="19">
                  <c:v>-6.7170662012171141</c:v>
                </c:pt>
                <c:pt idx="20">
                  <c:v>-6.0040881592706619</c:v>
                </c:pt>
                <c:pt idx="21">
                  <c:v>-5.9305125981901972</c:v>
                </c:pt>
                <c:pt idx="22">
                  <c:v>-7</c:v>
                </c:pt>
                <c:pt idx="23">
                  <c:v>-5.4981528435324831</c:v>
                </c:pt>
                <c:pt idx="24">
                  <c:v>-5.7837988593708589</c:v>
                </c:pt>
                <c:pt idx="25">
                  <c:v>-5.8836295337331528</c:v>
                </c:pt>
                <c:pt idx="26">
                  <c:v>-5.1405140485151852</c:v>
                </c:pt>
                <c:pt idx="27">
                  <c:v>-4.8761036869728089</c:v>
                </c:pt>
                <c:pt idx="28">
                  <c:v>-5.1607665130674434</c:v>
                </c:pt>
                <c:pt idx="29">
                  <c:v>-5.0999526684461198</c:v>
                </c:pt>
                <c:pt idx="30">
                  <c:v>-5.4116261361212334</c:v>
                </c:pt>
                <c:pt idx="31">
                  <c:v>-6.2616653366229302</c:v>
                </c:pt>
                <c:pt idx="32">
                  <c:v>-5.8926196651717149</c:v>
                </c:pt>
                <c:pt idx="33">
                  <c:v>-5.4942148201072172</c:v>
                </c:pt>
                <c:pt idx="34">
                  <c:v>-6.6560082688373488</c:v>
                </c:pt>
                <c:pt idx="35">
                  <c:v>-5.6239281754816703</c:v>
                </c:pt>
                <c:pt idx="36">
                  <c:v>-5.5590731964424265</c:v>
                </c:pt>
                <c:pt idx="37">
                  <c:v>-5.689684679006608</c:v>
                </c:pt>
                <c:pt idx="38">
                  <c:v>-5.1095738831724011</c:v>
                </c:pt>
                <c:pt idx="39">
                  <c:v>-4.7667421335659217</c:v>
                </c:pt>
                <c:pt idx="40">
                  <c:v>-5.1802586635931016</c:v>
                </c:pt>
                <c:pt idx="41">
                  <c:v>-5.993925582765649</c:v>
                </c:pt>
                <c:pt idx="42">
                  <c:v>-5.9944826898965804</c:v>
                </c:pt>
              </c:numCache>
            </c:numRef>
          </c:yVal>
          <c:smooth val="0"/>
          <c:extLst>
            <c:ext xmlns:c16="http://schemas.microsoft.com/office/drawing/2014/chart" uri="{C3380CC4-5D6E-409C-BE32-E72D297353CC}">
              <c16:uniqueId val="{00000000-7E6A-3B48-9414-620085CFC6C0}"/>
            </c:ext>
          </c:extLst>
        </c:ser>
        <c:dLbls>
          <c:showLegendKey val="0"/>
          <c:showVal val="0"/>
          <c:showCatName val="0"/>
          <c:showSerName val="0"/>
          <c:showPercent val="0"/>
          <c:showBubbleSize val="0"/>
        </c:dLbls>
        <c:axId val="1608095135"/>
        <c:axId val="1"/>
      </c:scatterChart>
      <c:scatterChart>
        <c:scatterStyle val="lineMarker"/>
        <c:varyColors val="0"/>
        <c:ser>
          <c:idx val="1"/>
          <c:order val="1"/>
          <c:tx>
            <c:v>Avg Temp</c:v>
          </c:tx>
          <c:spPr>
            <a:ln w="25400" cap="rnd">
              <a:solidFill>
                <a:srgbClr val="FFC000"/>
              </a:solidFill>
              <a:prstDash val="dash"/>
              <a:round/>
            </a:ln>
            <a:effectLst/>
          </c:spPr>
          <c:marker>
            <c:symbol val="circle"/>
            <c:size val="5"/>
            <c:spPr>
              <a:solidFill>
                <a:schemeClr val="accent2"/>
              </a:solidFill>
              <a:ln w="9525">
                <a:solidFill>
                  <a:schemeClr val="accent2"/>
                </a:solidFill>
              </a:ln>
              <a:effectLst/>
            </c:spPr>
          </c:marker>
          <c:errBars>
            <c:errDir val="y"/>
            <c:errBarType val="both"/>
            <c:errValType val="cust"/>
            <c:noEndCap val="0"/>
            <c:plus>
              <c:numRef>
                <c:f>Clumped_graphs!$J$3:$J$14</c:f>
                <c:numCache>
                  <c:formatCode>General</c:formatCode>
                  <c:ptCount val="12"/>
                  <c:pt idx="0">
                    <c:v>3.0001433728302414</c:v>
                  </c:pt>
                  <c:pt idx="1">
                    <c:v>0.95489670702596186</c:v>
                  </c:pt>
                  <c:pt idx="2">
                    <c:v>4.2221901205250578</c:v>
                  </c:pt>
                  <c:pt idx="3">
                    <c:v>3.4108774566570279</c:v>
                  </c:pt>
                  <c:pt idx="4">
                    <c:v>2.2108901443787037</c:v>
                  </c:pt>
                  <c:pt idx="5">
                    <c:v>2.0881734715661815</c:v>
                  </c:pt>
                  <c:pt idx="6">
                    <c:v>1.0111321089082574</c:v>
                  </c:pt>
                  <c:pt idx="7">
                    <c:v>0.96707665789506536</c:v>
                  </c:pt>
                  <c:pt idx="8">
                    <c:v>1.8457607102995612</c:v>
                  </c:pt>
                  <c:pt idx="9">
                    <c:v>3.3262760848001509</c:v>
                  </c:pt>
                  <c:pt idx="10">
                    <c:v>1.7210582883234822</c:v>
                  </c:pt>
                  <c:pt idx="11">
                    <c:v>2.2617573559423403</c:v>
                  </c:pt>
                </c:numCache>
              </c:numRef>
            </c:plus>
            <c:minus>
              <c:numRef>
                <c:f>Clumped_graphs!$J$3:$J$14</c:f>
                <c:numCache>
                  <c:formatCode>General</c:formatCode>
                  <c:ptCount val="12"/>
                  <c:pt idx="0">
                    <c:v>3.0001433728302414</c:v>
                  </c:pt>
                  <c:pt idx="1">
                    <c:v>0.95489670702596186</c:v>
                  </c:pt>
                  <c:pt idx="2">
                    <c:v>4.2221901205250578</c:v>
                  </c:pt>
                  <c:pt idx="3">
                    <c:v>3.4108774566570279</c:v>
                  </c:pt>
                  <c:pt idx="4">
                    <c:v>2.2108901443787037</c:v>
                  </c:pt>
                  <c:pt idx="5">
                    <c:v>2.0881734715661815</c:v>
                  </c:pt>
                  <c:pt idx="6">
                    <c:v>1.0111321089082574</c:v>
                  </c:pt>
                  <c:pt idx="7">
                    <c:v>0.96707665789506536</c:v>
                  </c:pt>
                  <c:pt idx="8">
                    <c:v>1.8457607102995612</c:v>
                  </c:pt>
                  <c:pt idx="9">
                    <c:v>3.3262760848001509</c:v>
                  </c:pt>
                  <c:pt idx="10">
                    <c:v>1.7210582883234822</c:v>
                  </c:pt>
                  <c:pt idx="11">
                    <c:v>2.2617573559423403</c:v>
                  </c:pt>
                </c:numCache>
              </c:numRef>
            </c:minus>
            <c:spPr>
              <a:noFill/>
              <a:ln w="9525" cap="flat" cmpd="sng" algn="ctr">
                <a:solidFill>
                  <a:schemeClr val="tx1">
                    <a:lumMod val="65000"/>
                    <a:lumOff val="35000"/>
                  </a:schemeClr>
                </a:solidFill>
                <a:round/>
              </a:ln>
              <a:effectLst/>
            </c:spPr>
          </c:errBars>
          <c:xVal>
            <c:numRef>
              <c:f>Clumped_graphs!$E$3:$E$17</c:f>
              <c:numCache>
                <c:formatCode>General</c:formatCode>
                <c:ptCount val="15"/>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pt idx="14" formatCode="0.00">
                  <c:v>2.7518596153846153</c:v>
                </c:pt>
              </c:numCache>
            </c:numRef>
          </c:xVal>
          <c:yVal>
            <c:numRef>
              <c:f>Clumped_graphs!$I$3:$I$16</c:f>
              <c:numCache>
                <c:formatCode>0</c:formatCode>
                <c:ptCount val="14"/>
                <c:pt idx="0">
                  <c:v>13.032480950069063</c:v>
                </c:pt>
                <c:pt idx="1">
                  <c:v>11.645939936168702</c:v>
                </c:pt>
                <c:pt idx="2">
                  <c:v>24.402488205498134</c:v>
                </c:pt>
                <c:pt idx="3">
                  <c:v>18.409897824268256</c:v>
                </c:pt>
                <c:pt idx="4">
                  <c:v>14.14053938447436</c:v>
                </c:pt>
                <c:pt idx="5">
                  <c:v>20.769942498551263</c:v>
                </c:pt>
                <c:pt idx="6">
                  <c:v>13.907555357546158</c:v>
                </c:pt>
                <c:pt idx="7">
                  <c:v>16.813100170540338</c:v>
                </c:pt>
                <c:pt idx="8">
                  <c:v>3.2939171658659916</c:v>
                </c:pt>
                <c:pt idx="9">
                  <c:v>13.872664930944268</c:v>
                </c:pt>
                <c:pt idx="10">
                  <c:v>17.629639758380506</c:v>
                </c:pt>
                <c:pt idx="11">
                  <c:v>4.5126437789767424</c:v>
                </c:pt>
                <c:pt idx="12">
                  <c:v>12.451038840750167</c:v>
                </c:pt>
                <c:pt idx="13">
                  <c:v>4.8612366404932175</c:v>
                </c:pt>
              </c:numCache>
            </c:numRef>
          </c:yVal>
          <c:smooth val="0"/>
          <c:extLst>
            <c:ext xmlns:c16="http://schemas.microsoft.com/office/drawing/2014/chart" uri="{C3380CC4-5D6E-409C-BE32-E72D297353CC}">
              <c16:uniqueId val="{00000001-7E6A-3B48-9414-620085CFC6C0}"/>
            </c:ext>
          </c:extLst>
        </c:ser>
        <c:ser>
          <c:idx val="2"/>
          <c:order val="2"/>
          <c:tx>
            <c:v>Annual Average T</c:v>
          </c:tx>
          <c:xVal>
            <c:numRef>
              <c:f>Clumped_graphs!$E$18:$E$19</c:f>
              <c:numCache>
                <c:formatCode>General</c:formatCode>
                <c:ptCount val="2"/>
                <c:pt idx="0">
                  <c:v>2.4</c:v>
                </c:pt>
                <c:pt idx="1">
                  <c:v>4.0999999999999996</c:v>
                </c:pt>
              </c:numCache>
            </c:numRef>
          </c:xVal>
          <c:yVal>
            <c:numRef>
              <c:f>Clumped_graphs!$I$18:$I$19</c:f>
              <c:numCache>
                <c:formatCode>General</c:formatCode>
                <c:ptCount val="2"/>
                <c:pt idx="0">
                  <c:v>16.7</c:v>
                </c:pt>
                <c:pt idx="1">
                  <c:v>16.7</c:v>
                </c:pt>
              </c:numCache>
            </c:numRef>
          </c:yVal>
          <c:smooth val="0"/>
          <c:extLst>
            <c:ext xmlns:c16="http://schemas.microsoft.com/office/drawing/2014/chart" uri="{C3380CC4-5D6E-409C-BE32-E72D297353CC}">
              <c16:uniqueId val="{00000001-B63B-1D4E-A563-372E0A489D2B}"/>
            </c:ext>
          </c:extLst>
        </c:ser>
        <c:ser>
          <c:idx val="3"/>
          <c:order val="3"/>
          <c:tx>
            <c:v>Summer Average T</c:v>
          </c:tx>
          <c:xVal>
            <c:numRef>
              <c:f>Clumped_graphs!$E$22:$E$23</c:f>
              <c:numCache>
                <c:formatCode>General</c:formatCode>
                <c:ptCount val="2"/>
                <c:pt idx="0">
                  <c:v>2.4</c:v>
                </c:pt>
                <c:pt idx="1">
                  <c:v>4.0999999999999996</c:v>
                </c:pt>
              </c:numCache>
            </c:numRef>
          </c:xVal>
          <c:yVal>
            <c:numRef>
              <c:f>Clumped_graphs!$I$22:$I$23</c:f>
              <c:numCache>
                <c:formatCode>General</c:formatCode>
                <c:ptCount val="2"/>
                <c:pt idx="0">
                  <c:v>31.9</c:v>
                </c:pt>
                <c:pt idx="1">
                  <c:v>31.9</c:v>
                </c:pt>
              </c:numCache>
            </c:numRef>
          </c:yVal>
          <c:smooth val="0"/>
          <c:extLst>
            <c:ext xmlns:c16="http://schemas.microsoft.com/office/drawing/2014/chart" uri="{C3380CC4-5D6E-409C-BE32-E72D297353CC}">
              <c16:uniqueId val="{00000002-B63B-1D4E-A563-372E0A489D2B}"/>
            </c:ext>
          </c:extLst>
        </c:ser>
        <c:ser>
          <c:idx val="4"/>
          <c:order val="4"/>
          <c:tx>
            <c:v>Winter Average T</c:v>
          </c:tx>
          <c:xVal>
            <c:numRef>
              <c:f>Clumped_graphs!$E$22:$E$23</c:f>
              <c:numCache>
                <c:formatCode>General</c:formatCode>
                <c:ptCount val="2"/>
                <c:pt idx="0">
                  <c:v>2.4</c:v>
                </c:pt>
                <c:pt idx="1">
                  <c:v>4.0999999999999996</c:v>
                </c:pt>
              </c:numCache>
            </c:numRef>
          </c:xVal>
          <c:yVal>
            <c:numRef>
              <c:f>Clumped_graphs!$I$20:$I$21</c:f>
              <c:numCache>
                <c:formatCode>General</c:formatCode>
                <c:ptCount val="2"/>
                <c:pt idx="0">
                  <c:v>13.4</c:v>
                </c:pt>
                <c:pt idx="1">
                  <c:v>13.4</c:v>
                </c:pt>
              </c:numCache>
            </c:numRef>
          </c:yVal>
          <c:smooth val="0"/>
          <c:extLst>
            <c:ext xmlns:c16="http://schemas.microsoft.com/office/drawing/2014/chart" uri="{C3380CC4-5D6E-409C-BE32-E72D297353CC}">
              <c16:uniqueId val="{00000003-B63B-1D4E-A563-372E0A489D2B}"/>
            </c:ext>
          </c:extLst>
        </c:ser>
        <c:dLbls>
          <c:showLegendKey val="0"/>
          <c:showVal val="0"/>
          <c:showCatName val="0"/>
          <c:showSerName val="0"/>
          <c:showPercent val="0"/>
          <c:showBubbleSize val="0"/>
        </c:dLbls>
        <c:axId val="3"/>
        <c:axId val="4"/>
      </c:scatterChart>
      <c:valAx>
        <c:axId val="1608095135"/>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1100" b="0" i="0" u="none" strike="noStrike" baseline="0">
                <a:solidFill>
                  <a:schemeClr val="tx1"/>
                </a:solidFill>
                <a:latin typeface="Calibri"/>
                <a:ea typeface="Calibri"/>
                <a:cs typeface="Calibri"/>
              </a:defRPr>
            </a:pPr>
            <a:endParaRPr lang="en-US"/>
          </a:p>
        </c:txPr>
        <c:crossAx val="1"/>
        <c:crossesAt val="-8"/>
        <c:crossBetween val="midCat"/>
      </c:valAx>
      <c:valAx>
        <c:axId val="1"/>
        <c:scaling>
          <c:orientation val="minMax"/>
          <c:max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δ</a:t>
                </a:r>
                <a:r>
                  <a:rPr lang="en-US" sz="1100" baseline="30000">
                    <a:solidFill>
                      <a:schemeClr val="tx1"/>
                    </a:solidFill>
                  </a:rPr>
                  <a:t>18</a:t>
                </a:r>
                <a:r>
                  <a:rPr lang="en-US" sz="1100">
                    <a:solidFill>
                      <a:schemeClr val="tx1"/>
                    </a:solidFill>
                  </a:rPr>
                  <a:t>O</a:t>
                </a:r>
              </a:p>
            </c:rich>
          </c:tx>
          <c:overlay val="0"/>
          <c:spPr>
            <a:noFill/>
            <a:ln>
              <a:noFill/>
            </a:ln>
            <a:effectLst/>
          </c:sp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08095135"/>
        <c:crosses val="autoZero"/>
        <c:crossBetween val="midCat"/>
      </c:valAx>
      <c:valAx>
        <c:axId val="3"/>
        <c:scaling>
          <c:orientation val="minMax"/>
        </c:scaling>
        <c:delete val="1"/>
        <c:axPos val="b"/>
        <c:numFmt formatCode="0.00" sourceLinked="1"/>
        <c:majorTickMark val="out"/>
        <c:minorTickMark val="none"/>
        <c:tickLblPos val="nextTo"/>
        <c:crossAx val="4"/>
        <c:crosses val="autoZero"/>
        <c:crossBetween val="midCat"/>
      </c:valAx>
      <c:valAx>
        <c:axId val="4"/>
        <c:scaling>
          <c:orientation val="minMax"/>
          <c:min val="-20"/>
        </c:scaling>
        <c:delete val="0"/>
        <c:axPos val="r"/>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Avg T(°C)</a:t>
                </a:r>
              </a:p>
            </c:rich>
          </c:tx>
          <c:overlay val="0"/>
          <c:spPr>
            <a:noFill/>
            <a:ln>
              <a:noFill/>
            </a:ln>
            <a:effectLst/>
          </c:sp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
        <c:crosses val="max"/>
        <c:crossBetween val="midCat"/>
      </c:valAx>
      <c:spPr>
        <a:noFill/>
        <a:ln w="25400">
          <a:noFill/>
        </a:ln>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Outliers</a:t>
            </a:r>
            <a:r>
              <a:rPr lang="en-US" baseline="0"/>
              <a:t> Included</a:t>
            </a:r>
            <a:endParaRPr lang="en-US"/>
          </a:p>
        </c:rich>
      </c:tx>
      <c:overlay val="0"/>
      <c:spPr>
        <a:noFill/>
        <a:ln>
          <a:noFill/>
        </a:ln>
        <a:effectLst/>
      </c:spPr>
    </c:title>
    <c:autoTitleDeleted val="0"/>
    <c:plotArea>
      <c:layout/>
      <c:scatterChart>
        <c:scatterStyle val="lineMarker"/>
        <c:varyColors val="0"/>
        <c:ser>
          <c:idx val="0"/>
          <c:order val="0"/>
          <c:tx>
            <c:v>d18O - UT</c:v>
          </c:tx>
          <c:spPr>
            <a:ln w="19050" cap="rnd">
              <a:noFill/>
              <a:round/>
            </a:ln>
            <a:effectLst/>
          </c:spPr>
          <c:marker>
            <c:symbol val="circle"/>
            <c:size val="5"/>
            <c:spPr>
              <a:solidFill>
                <a:schemeClr val="accent1"/>
              </a:solidFill>
              <a:ln w="9525">
                <a:solidFill>
                  <a:schemeClr val="accent1"/>
                </a:solidFill>
              </a:ln>
              <a:effectLst/>
            </c:spPr>
          </c:marker>
          <c:errBars>
            <c:errDir val="y"/>
            <c:errBarType val="both"/>
            <c:errValType val="cust"/>
            <c:noEndCap val="0"/>
            <c:pl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plus>
            <c:minus>
              <c:numRef>
                <c:f>Clumped_graphs!$C$3:$C$45</c:f>
                <c:numCache>
                  <c:formatCode>General</c:formatCode>
                  <c:ptCount val="43"/>
                  <c:pt idx="0">
                    <c:v>0.15734078386653819</c:v>
                  </c:pt>
                  <c:pt idx="1">
                    <c:v>7.2044338899927521E-2</c:v>
                  </c:pt>
                  <c:pt idx="3">
                    <c:v>0.1635042771299049</c:v>
                  </c:pt>
                  <c:pt idx="4">
                    <c:v>0.23042280220765907</c:v>
                  </c:pt>
                  <c:pt idx="5">
                    <c:v>0.239098002781401</c:v>
                  </c:pt>
                  <c:pt idx="6">
                    <c:v>0.1714357327989274</c:v>
                  </c:pt>
                  <c:pt idx="7">
                    <c:v>0.15532045387329205</c:v>
                  </c:pt>
                  <c:pt idx="8">
                    <c:v>0.15350611428030808</c:v>
                  </c:pt>
                  <c:pt idx="9">
                    <c:v>7.9427906404797438E-2</c:v>
                  </c:pt>
                  <c:pt idx="10">
                    <c:v>8.234324520007226E-2</c:v>
                  </c:pt>
                  <c:pt idx="11">
                    <c:v>3.606115633083469E-2</c:v>
                  </c:pt>
                  <c:pt idx="12">
                    <c:v>0.20753458173353923</c:v>
                  </c:pt>
                  <c:pt idx="13">
                    <c:v>3.0413795978398089E-2</c:v>
                  </c:pt>
                  <c:pt idx="14">
                    <c:v>9.9841340769148884E-2</c:v>
                  </c:pt>
                  <c:pt idx="15">
                    <c:v>0.12140720671655685</c:v>
                  </c:pt>
                  <c:pt idx="16">
                    <c:v>5.5315728994304113E-2</c:v>
                  </c:pt>
                  <c:pt idx="17">
                    <c:v>6.3565046691398161E-2</c:v>
                  </c:pt>
                  <c:pt idx="18">
                    <c:v>0.10594763337178664</c:v>
                  </c:pt>
                  <c:pt idx="19">
                    <c:v>0.49466732344611358</c:v>
                  </c:pt>
                  <c:pt idx="20">
                    <c:v>5.9802019448195534E-2</c:v>
                  </c:pt>
                  <c:pt idx="21">
                    <c:v>0.31265538102843854</c:v>
                  </c:pt>
                  <c:pt idx="22">
                    <c:v>0.37495565336076581</c:v>
                  </c:pt>
                  <c:pt idx="23">
                    <c:v>0.17652609202616359</c:v>
                  </c:pt>
                  <c:pt idx="24">
                    <c:v>0.12456111537769055</c:v>
                  </c:pt>
                  <c:pt idx="25">
                    <c:v>6.5247170338868704E-2</c:v>
                  </c:pt>
                  <c:pt idx="26">
                    <c:v>0.15852571017947686</c:v>
                  </c:pt>
                  <c:pt idx="27">
                    <c:v>8.2168406684500886E-2</c:v>
                  </c:pt>
                  <c:pt idx="28">
                    <c:v>0.16105990926427602</c:v>
                  </c:pt>
                  <c:pt idx="29">
                    <c:v>0.10562769051723538</c:v>
                  </c:pt>
                  <c:pt idx="30">
                    <c:v>7.1187231763628844E-2</c:v>
                  </c:pt>
                  <c:pt idx="31">
                    <c:v>0.20701398640591007</c:v>
                  </c:pt>
                  <c:pt idx="32">
                    <c:v>0.30391988517042579</c:v>
                  </c:pt>
                  <c:pt idx="33">
                    <c:v>0.17825908085833955</c:v>
                  </c:pt>
                  <c:pt idx="34">
                    <c:v>0.14516912841272483</c:v>
                  </c:pt>
                  <c:pt idx="35">
                    <c:v>0.3171737702065926</c:v>
                  </c:pt>
                  <c:pt idx="36">
                    <c:v>0.18153909632003748</c:v>
                  </c:pt>
                  <c:pt idx="37">
                    <c:v>5.1636175074219179E-2</c:v>
                  </c:pt>
                  <c:pt idx="38">
                    <c:v>9.7287530173241835E-2</c:v>
                  </c:pt>
                  <c:pt idx="39">
                    <c:v>0.10278980754068411</c:v>
                  </c:pt>
                  <c:pt idx="40">
                    <c:v>5.8357720196847568E-2</c:v>
                  </c:pt>
                  <c:pt idx="41">
                    <c:v>3.9460792453804787E-2</c:v>
                  </c:pt>
                  <c:pt idx="42">
                    <c:v>4.5235672802388466E-2</c:v>
                  </c:pt>
                </c:numCache>
              </c:numRef>
            </c:minus>
            <c:spPr>
              <a:noFill/>
              <a:ln w="9525" cap="flat" cmpd="sng" algn="ctr">
                <a:solidFill>
                  <a:schemeClr val="tx1">
                    <a:lumMod val="65000"/>
                    <a:lumOff val="35000"/>
                  </a:schemeClr>
                </a:solidFill>
                <a:round/>
              </a:ln>
              <a:effectLst/>
            </c:spPr>
          </c:errBars>
          <c:xVal>
            <c:numRef>
              <c:f>Clumped_graphs!$A$3:$A$45</c:f>
              <c:numCache>
                <c:formatCode>0.00</c:formatCode>
                <c:ptCount val="43"/>
                <c:pt idx="0">
                  <c:v>3.9598343750000002</c:v>
                </c:pt>
                <c:pt idx="1">
                  <c:v>3.911815625</c:v>
                </c:pt>
                <c:pt idx="2">
                  <c:v>3.8859593750000001</c:v>
                </c:pt>
                <c:pt idx="3">
                  <c:v>3.8748781250000004</c:v>
                </c:pt>
                <c:pt idx="4">
                  <c:v>3.8637968750000002</c:v>
                </c:pt>
                <c:pt idx="5">
                  <c:v>3.8305531250000002</c:v>
                </c:pt>
                <c:pt idx="6">
                  <c:v>3.812084375</c:v>
                </c:pt>
                <c:pt idx="7">
                  <c:v>3.7936156250000002</c:v>
                </c:pt>
                <c:pt idx="8">
                  <c:v>3.7308218750000002</c:v>
                </c:pt>
                <c:pt idx="9">
                  <c:v>3.6606406250000001</c:v>
                </c:pt>
                <c:pt idx="10">
                  <c:v>3.5770410367170626</c:v>
                </c:pt>
                <c:pt idx="11">
                  <c:v>3.4931619870410366</c:v>
                </c:pt>
                <c:pt idx="12">
                  <c:v>3.4736285097192225</c:v>
                </c:pt>
                <c:pt idx="13">
                  <c:v>3.4483498920086393</c:v>
                </c:pt>
                <c:pt idx="14">
                  <c:v>3.4311144708423327</c:v>
                </c:pt>
                <c:pt idx="15">
                  <c:v>3.4110064794816415</c:v>
                </c:pt>
                <c:pt idx="16">
                  <c:v>3.3966436285097195</c:v>
                </c:pt>
                <c:pt idx="17">
                  <c:v>3.3702159827213825</c:v>
                </c:pt>
                <c:pt idx="18">
                  <c:v>3.2957739130434782</c:v>
                </c:pt>
                <c:pt idx="19">
                  <c:v>3.2925652173913043</c:v>
                </c:pt>
                <c:pt idx="20">
                  <c:v>3.2893565217391303</c:v>
                </c:pt>
                <c:pt idx="21">
                  <c:v>3.2872173913043476</c:v>
                </c:pt>
                <c:pt idx="22">
                  <c:v>3.2840086956521741</c:v>
                </c:pt>
                <c:pt idx="23">
                  <c:v>3.2588739130434781</c:v>
                </c:pt>
                <c:pt idx="24">
                  <c:v>3.2428304347826087</c:v>
                </c:pt>
                <c:pt idx="25">
                  <c:v>3.2315999999999998</c:v>
                </c:pt>
                <c:pt idx="26">
                  <c:v>3.2187652173913044</c:v>
                </c:pt>
                <c:pt idx="27">
                  <c:v>3.1191379310344827</c:v>
                </c:pt>
                <c:pt idx="28">
                  <c:v>2.9851653846153847</c:v>
                </c:pt>
                <c:pt idx="29">
                  <c:v>2.9686865384615384</c:v>
                </c:pt>
                <c:pt idx="30">
                  <c:v>2.9400653846153846</c:v>
                </c:pt>
                <c:pt idx="31">
                  <c:v>2.8845576923076921</c:v>
                </c:pt>
                <c:pt idx="32">
                  <c:v>2.8810884615384618</c:v>
                </c:pt>
                <c:pt idx="33">
                  <c:v>2.8776192307692305</c:v>
                </c:pt>
                <c:pt idx="34">
                  <c:v>2.8741500000000002</c:v>
                </c:pt>
                <c:pt idx="35">
                  <c:v>2.8368557692307692</c:v>
                </c:pt>
                <c:pt idx="36">
                  <c:v>2.8117038461538462</c:v>
                </c:pt>
                <c:pt idx="37">
                  <c:v>2.7839499999999999</c:v>
                </c:pt>
                <c:pt idx="38">
                  <c:v>2.7614000000000001</c:v>
                </c:pt>
                <c:pt idx="39">
                  <c:v>2.7518596153846153</c:v>
                </c:pt>
                <c:pt idx="40">
                  <c:v>2.7336461538461538</c:v>
                </c:pt>
                <c:pt idx="41">
                  <c:v>2.7327788461538463</c:v>
                </c:pt>
                <c:pt idx="42">
                  <c:v>2.6764038461538462</c:v>
                </c:pt>
              </c:numCache>
            </c:numRef>
          </c:xVal>
          <c:yVal>
            <c:numRef>
              <c:f>Clumped_graphs!$B$3:$B$45</c:f>
              <c:numCache>
                <c:formatCode>0.000</c:formatCode>
                <c:ptCount val="43"/>
                <c:pt idx="0">
                  <c:v>-5.6341197112937511</c:v>
                </c:pt>
                <c:pt idx="1">
                  <c:v>-6.1207700676048713</c:v>
                </c:pt>
                <c:pt idx="3">
                  <c:v>-5.9770460676086303</c:v>
                </c:pt>
                <c:pt idx="4">
                  <c:v>-5.3154240103900179</c:v>
                </c:pt>
                <c:pt idx="5">
                  <c:v>-5.3938098606121132</c:v>
                </c:pt>
                <c:pt idx="6">
                  <c:v>-6.0964527061163025</c:v>
                </c:pt>
                <c:pt idx="7">
                  <c:v>-5.1287225490471151</c:v>
                </c:pt>
                <c:pt idx="8">
                  <c:v>-5.8153775524083722</c:v>
                </c:pt>
                <c:pt idx="9">
                  <c:v>-5.8769222089864259</c:v>
                </c:pt>
                <c:pt idx="10">
                  <c:v>-4.9955435671037431</c:v>
                </c:pt>
                <c:pt idx="11">
                  <c:v>-5.6447951453113889</c:v>
                </c:pt>
                <c:pt idx="12">
                  <c:v>-6.1800768774603441</c:v>
                </c:pt>
                <c:pt idx="13">
                  <c:v>-6.3563824488304048</c:v>
                </c:pt>
                <c:pt idx="14">
                  <c:v>-6.3356143481518625</c:v>
                </c:pt>
                <c:pt idx="15">
                  <c:v>-5.6165101798409696</c:v>
                </c:pt>
                <c:pt idx="16">
                  <c:v>-5.7480646369819777</c:v>
                </c:pt>
                <c:pt idx="17">
                  <c:v>-5.1447417743551851</c:v>
                </c:pt>
                <c:pt idx="18">
                  <c:v>-5.2232716704822924</c:v>
                </c:pt>
                <c:pt idx="19">
                  <c:v>-6.7170662012171141</c:v>
                </c:pt>
                <c:pt idx="20">
                  <c:v>-6.0040881592706619</c:v>
                </c:pt>
                <c:pt idx="21">
                  <c:v>-5.9305125981901972</c:v>
                </c:pt>
                <c:pt idx="22">
                  <c:v>-7</c:v>
                </c:pt>
                <c:pt idx="23">
                  <c:v>-5.4981528435324831</c:v>
                </c:pt>
                <c:pt idx="24">
                  <c:v>-5.7837988593708589</c:v>
                </c:pt>
                <c:pt idx="25">
                  <c:v>-5.8836295337331528</c:v>
                </c:pt>
                <c:pt idx="26">
                  <c:v>-5.1405140485151852</c:v>
                </c:pt>
                <c:pt idx="27">
                  <c:v>-4.8761036869728089</c:v>
                </c:pt>
                <c:pt idx="28">
                  <c:v>-5.1607665130674434</c:v>
                </c:pt>
                <c:pt idx="29">
                  <c:v>-5.0999526684461198</c:v>
                </c:pt>
                <c:pt idx="30">
                  <c:v>-5.4116261361212334</c:v>
                </c:pt>
                <c:pt idx="31">
                  <c:v>-6.2616653366229302</c:v>
                </c:pt>
                <c:pt idx="32">
                  <c:v>-5.8926196651717149</c:v>
                </c:pt>
                <c:pt idx="33">
                  <c:v>-5.4942148201072172</c:v>
                </c:pt>
                <c:pt idx="34">
                  <c:v>-6.6560082688373488</c:v>
                </c:pt>
                <c:pt idx="35">
                  <c:v>-5.6239281754816703</c:v>
                </c:pt>
                <c:pt idx="36">
                  <c:v>-5.5590731964424265</c:v>
                </c:pt>
                <c:pt idx="37">
                  <c:v>-5.689684679006608</c:v>
                </c:pt>
                <c:pt idx="38">
                  <c:v>-5.1095738831724011</c:v>
                </c:pt>
                <c:pt idx="39">
                  <c:v>-4.7667421335659217</c:v>
                </c:pt>
                <c:pt idx="40">
                  <c:v>-5.1802586635931016</c:v>
                </c:pt>
                <c:pt idx="41">
                  <c:v>-5.993925582765649</c:v>
                </c:pt>
                <c:pt idx="42">
                  <c:v>-5.9944826898965804</c:v>
                </c:pt>
              </c:numCache>
            </c:numRef>
          </c:yVal>
          <c:smooth val="0"/>
          <c:extLst>
            <c:ext xmlns:c16="http://schemas.microsoft.com/office/drawing/2014/chart" uri="{C3380CC4-5D6E-409C-BE32-E72D297353CC}">
              <c16:uniqueId val="{00000000-6DAD-D34F-A8F7-F451270F3F75}"/>
            </c:ext>
          </c:extLst>
        </c:ser>
        <c:dLbls>
          <c:showLegendKey val="0"/>
          <c:showVal val="0"/>
          <c:showCatName val="0"/>
          <c:showSerName val="0"/>
          <c:showPercent val="0"/>
          <c:showBubbleSize val="0"/>
        </c:dLbls>
        <c:axId val="1608068303"/>
        <c:axId val="1"/>
      </c:scatterChart>
      <c:scatterChart>
        <c:scatterStyle val="lineMarker"/>
        <c:varyColors val="0"/>
        <c:ser>
          <c:idx val="1"/>
          <c:order val="1"/>
          <c:tx>
            <c:v>Avg T</c:v>
          </c:tx>
          <c:spPr>
            <a:ln w="25400" cap="rnd">
              <a:solidFill>
                <a:srgbClr val="FFC000"/>
              </a:solidFill>
              <a:prstDash val="dash"/>
              <a:round/>
            </a:ln>
            <a:effectLst/>
          </c:spPr>
          <c:marker>
            <c:symbol val="circle"/>
            <c:size val="5"/>
            <c:spPr>
              <a:solidFill>
                <a:schemeClr val="accent2"/>
              </a:solidFill>
              <a:ln w="9525">
                <a:solidFill>
                  <a:schemeClr val="accent2"/>
                </a:solidFill>
              </a:ln>
              <a:effectLst/>
            </c:spPr>
          </c:marker>
          <c:errBars>
            <c:errDir val="y"/>
            <c:errBarType val="both"/>
            <c:errValType val="cust"/>
            <c:noEndCap val="0"/>
            <c:plus>
              <c:numRef>
                <c:f>Clumped_graphs!$Y$3:$Y$15</c:f>
                <c:numCache>
                  <c:formatCode>General</c:formatCode>
                  <c:ptCount val="13"/>
                  <c:pt idx="0">
                    <c:v>2.7680292057846083</c:v>
                  </c:pt>
                  <c:pt idx="1">
                    <c:v>4.0155650575734727</c:v>
                  </c:pt>
                  <c:pt idx="2">
                    <c:v>4.160196627621624</c:v>
                  </c:pt>
                  <c:pt idx="3">
                    <c:v>3.4108774566570279</c:v>
                  </c:pt>
                  <c:pt idx="4">
                    <c:v>2.2108901443787037</c:v>
                  </c:pt>
                  <c:pt idx="5">
                    <c:v>3.5257279558510719</c:v>
                  </c:pt>
                  <c:pt idx="6">
                    <c:v>4.4256702108341699</c:v>
                  </c:pt>
                  <c:pt idx="7">
                    <c:v>5.7161670198548862</c:v>
                  </c:pt>
                  <c:pt idx="8">
                    <c:v>1.8457607102995612</c:v>
                  </c:pt>
                  <c:pt idx="9">
                    <c:v>4.7097188842892255</c:v>
                  </c:pt>
                  <c:pt idx="10">
                    <c:v>5.4630849312944738</c:v>
                  </c:pt>
                  <c:pt idx="11">
                    <c:v>2.2617573559423403</c:v>
                  </c:pt>
                  <c:pt idx="12">
                    <c:v>2.0186616742020944</c:v>
                  </c:pt>
                </c:numCache>
              </c:numRef>
            </c:plus>
            <c:minus>
              <c:numRef>
                <c:f>Clumped_graphs!$Y$3:$Y$14</c:f>
                <c:numCache>
                  <c:formatCode>General</c:formatCode>
                  <c:ptCount val="12"/>
                  <c:pt idx="0">
                    <c:v>2.7680292057846083</c:v>
                  </c:pt>
                  <c:pt idx="1">
                    <c:v>4.0155650575734727</c:v>
                  </c:pt>
                  <c:pt idx="2">
                    <c:v>4.160196627621624</c:v>
                  </c:pt>
                  <c:pt idx="3">
                    <c:v>3.4108774566570279</c:v>
                  </c:pt>
                  <c:pt idx="4">
                    <c:v>2.2108901443787037</c:v>
                  </c:pt>
                  <c:pt idx="5">
                    <c:v>3.5257279558510719</c:v>
                  </c:pt>
                  <c:pt idx="6">
                    <c:v>4.4256702108341699</c:v>
                  </c:pt>
                  <c:pt idx="7">
                    <c:v>5.7161670198548862</c:v>
                  </c:pt>
                  <c:pt idx="8">
                    <c:v>1.8457607102995612</c:v>
                  </c:pt>
                  <c:pt idx="9">
                    <c:v>4.7097188842892255</c:v>
                  </c:pt>
                  <c:pt idx="10">
                    <c:v>5.4630849312944738</c:v>
                  </c:pt>
                  <c:pt idx="11">
                    <c:v>2.2617573559423403</c:v>
                  </c:pt>
                </c:numCache>
              </c:numRef>
            </c:minus>
            <c:spPr>
              <a:noFill/>
              <a:ln w="9525" cap="flat" cmpd="sng" algn="ctr">
                <a:solidFill>
                  <a:schemeClr val="tx1">
                    <a:lumMod val="65000"/>
                    <a:lumOff val="35000"/>
                  </a:schemeClr>
                </a:solidFill>
                <a:round/>
              </a:ln>
              <a:effectLst/>
            </c:spPr>
          </c:errBars>
          <c:xVal>
            <c:numRef>
              <c:f>Clumped_graphs!$T$3:$T$16</c:f>
              <c:numCache>
                <c:formatCode>General</c:formatCode>
                <c:ptCount val="14"/>
                <c:pt idx="0" formatCode="0.00">
                  <c:v>3.911815625</c:v>
                </c:pt>
                <c:pt idx="1">
                  <c:v>3.8</c:v>
                </c:pt>
                <c:pt idx="2" formatCode="0.00">
                  <c:v>3.6606406250000001</c:v>
                </c:pt>
                <c:pt idx="3" formatCode="0.00">
                  <c:v>3.5770410367170626</c:v>
                </c:pt>
                <c:pt idx="4">
                  <c:v>3.45</c:v>
                </c:pt>
                <c:pt idx="5" formatCode="0.00">
                  <c:v>3.2957739130434782</c:v>
                </c:pt>
                <c:pt idx="6" formatCode="0.00">
                  <c:v>3.2840086959999999</c:v>
                </c:pt>
                <c:pt idx="7" formatCode="0.00">
                  <c:v>3.2588739130434781</c:v>
                </c:pt>
                <c:pt idx="8" formatCode="0.00">
                  <c:v>3.11913793103448</c:v>
                </c:pt>
                <c:pt idx="9" formatCode="0.00">
                  <c:v>2.9851653846153847</c:v>
                </c:pt>
                <c:pt idx="10" formatCode="0.00">
                  <c:v>2.8810884615384618</c:v>
                </c:pt>
                <c:pt idx="11" formatCode="0.00">
                  <c:v>2.8741500000000002</c:v>
                </c:pt>
                <c:pt idx="12" formatCode="0.00">
                  <c:v>2.8117038461538462</c:v>
                </c:pt>
                <c:pt idx="13" formatCode="0.00">
                  <c:v>2.7614000000000001</c:v>
                </c:pt>
              </c:numCache>
            </c:numRef>
          </c:xVal>
          <c:yVal>
            <c:numRef>
              <c:f>Clumped_graphs!$X$3:$X$16</c:f>
              <c:numCache>
                <c:formatCode>0</c:formatCode>
                <c:ptCount val="14"/>
                <c:pt idx="0">
                  <c:v>11.254404586324256</c:v>
                </c:pt>
                <c:pt idx="1">
                  <c:v>7.0751852397594348</c:v>
                </c:pt>
                <c:pt idx="2">
                  <c:v>20.639129342234796</c:v>
                </c:pt>
                <c:pt idx="3">
                  <c:v>18.409897824268256</c:v>
                </c:pt>
                <c:pt idx="4">
                  <c:v>14.14053938447436</c:v>
                </c:pt>
                <c:pt idx="5">
                  <c:v>17.683880500831847</c:v>
                </c:pt>
                <c:pt idx="6">
                  <c:v>18.950750474960291</c:v>
                </c:pt>
                <c:pt idx="7">
                  <c:v>23.36616019547057</c:v>
                </c:pt>
                <c:pt idx="8">
                  <c:v>3.2939171658659916</c:v>
                </c:pt>
                <c:pt idx="9">
                  <c:v>18.584267018398009</c:v>
                </c:pt>
                <c:pt idx="10">
                  <c:v>23.77935803383923</c:v>
                </c:pt>
                <c:pt idx="11">
                  <c:v>4.5126437789767424</c:v>
                </c:pt>
                <c:pt idx="12">
                  <c:v>12.451038840750167</c:v>
                </c:pt>
                <c:pt idx="13">
                  <c:v>4.8612366404932175</c:v>
                </c:pt>
              </c:numCache>
            </c:numRef>
          </c:yVal>
          <c:smooth val="0"/>
          <c:extLst>
            <c:ext xmlns:c16="http://schemas.microsoft.com/office/drawing/2014/chart" uri="{C3380CC4-5D6E-409C-BE32-E72D297353CC}">
              <c16:uniqueId val="{00000001-6DAD-D34F-A8F7-F451270F3F75}"/>
            </c:ext>
          </c:extLst>
        </c:ser>
        <c:dLbls>
          <c:showLegendKey val="0"/>
          <c:showVal val="0"/>
          <c:showCatName val="0"/>
          <c:showSerName val="0"/>
          <c:showPercent val="0"/>
          <c:showBubbleSize val="0"/>
        </c:dLbls>
        <c:axId val="3"/>
        <c:axId val="4"/>
      </c:scatterChart>
      <c:valAx>
        <c:axId val="1608068303"/>
        <c:scaling>
          <c:orientation val="minMax"/>
          <c:max val="4.0999999999999996"/>
          <c:min val="2.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Age (Ma)</a:t>
                </a:r>
              </a:p>
            </c:rich>
          </c:tx>
          <c:overlay val="0"/>
          <c:spPr>
            <a:noFill/>
            <a:ln>
              <a:noFill/>
            </a:ln>
            <a:effectLst/>
          </c:sp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1100" b="0" i="0" u="none" strike="noStrike" baseline="0">
                <a:solidFill>
                  <a:schemeClr val="tx1"/>
                </a:solidFill>
                <a:latin typeface="Calibri"/>
                <a:ea typeface="Calibri"/>
                <a:cs typeface="Calibri"/>
              </a:defRPr>
            </a:pPr>
            <a:endParaRPr lang="en-US"/>
          </a:p>
        </c:txPr>
        <c:crossAx val="1"/>
        <c:crossesAt val="-8"/>
        <c:crossBetween val="midCat"/>
      </c:val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200" b="0" i="0" u="none" strike="noStrike" kern="1200" baseline="0">
                    <a:solidFill>
                      <a:sysClr val="windowText" lastClr="000000"/>
                    </a:solidFill>
                    <a:latin typeface="+mn-lt"/>
                    <a:ea typeface="+mn-ea"/>
                    <a:cs typeface="+mn-cs"/>
                  </a:defRPr>
                </a:pPr>
                <a:r>
                  <a:rPr lang="en-US" sz="1200" b="0" i="0" u="none" strike="noStrike" kern="1200" baseline="0">
                    <a:solidFill>
                      <a:schemeClr val="tx1"/>
                    </a:solidFill>
                  </a:rPr>
                  <a:t>δ</a:t>
                </a:r>
                <a:r>
                  <a:rPr lang="en-US" sz="1200" b="0" i="0" u="none" strike="noStrike" kern="1200" baseline="30000">
                    <a:solidFill>
                      <a:schemeClr val="tx1"/>
                    </a:solidFill>
                  </a:rPr>
                  <a:t>18</a:t>
                </a:r>
                <a:r>
                  <a:rPr lang="en-US" sz="1200" b="0" i="0" u="none" strike="noStrike" kern="1200" baseline="0">
                    <a:solidFill>
                      <a:schemeClr val="tx1"/>
                    </a:solidFill>
                  </a:rPr>
                  <a:t>O</a:t>
                </a:r>
              </a:p>
            </c:rich>
          </c:tx>
          <c:overlay val="0"/>
          <c:spPr>
            <a:noFill/>
            <a:ln>
              <a:noFill/>
            </a:ln>
            <a:effectLst/>
          </c:sp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608068303"/>
        <c:crosses val="autoZero"/>
        <c:crossBetween val="midCat"/>
      </c:valAx>
      <c:valAx>
        <c:axId val="3"/>
        <c:scaling>
          <c:orientation val="minMax"/>
        </c:scaling>
        <c:delete val="1"/>
        <c:axPos val="b"/>
        <c:numFmt formatCode="0.00" sourceLinked="1"/>
        <c:majorTickMark val="out"/>
        <c:minorTickMark val="none"/>
        <c:tickLblPos val="nextTo"/>
        <c:crossAx val="4"/>
        <c:crosses val="autoZero"/>
        <c:crossBetween val="midCat"/>
      </c:valAx>
      <c:valAx>
        <c:axId val="4"/>
        <c:scaling>
          <c:orientation val="minMax"/>
          <c:max val="40"/>
          <c:min val="-20"/>
        </c:scaling>
        <c:delete val="0"/>
        <c:axPos val="r"/>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Avg T (°C)</a:t>
                </a:r>
              </a:p>
            </c:rich>
          </c:tx>
          <c:overlay val="0"/>
          <c:spPr>
            <a:noFill/>
            <a:ln>
              <a:noFill/>
            </a:ln>
            <a:effectLst/>
          </c:sp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
        <c:crosses val="max"/>
        <c:crossBetween val="midCat"/>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17</xdr:col>
      <xdr:colOff>294732</xdr:colOff>
      <xdr:row>4</xdr:row>
      <xdr:rowOff>200102</xdr:rowOff>
    </xdr:from>
    <xdr:to>
      <xdr:col>27</xdr:col>
      <xdr:colOff>475785</xdr:colOff>
      <xdr:row>28</xdr:row>
      <xdr:rowOff>84564</xdr:rowOff>
    </xdr:to>
    <xdr:graphicFrame macro="">
      <xdr:nvGraphicFramePr>
        <xdr:cNvPr id="2" name="Chart 1">
          <a:extLst>
            <a:ext uri="{FF2B5EF4-FFF2-40B4-BE49-F238E27FC236}">
              <a16:creationId xmlns:a16="http://schemas.microsoft.com/office/drawing/2014/main" id="{DC327ED3-9190-7AA8-4BE8-78ADF1B1A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279400</xdr:colOff>
      <xdr:row>28</xdr:row>
      <xdr:rowOff>127000</xdr:rowOff>
    </xdr:from>
    <xdr:to>
      <xdr:col>27</xdr:col>
      <xdr:colOff>558800</xdr:colOff>
      <xdr:row>52</xdr:row>
      <xdr:rowOff>152400</xdr:rowOff>
    </xdr:to>
    <xdr:graphicFrame macro="">
      <xdr:nvGraphicFramePr>
        <xdr:cNvPr id="3" name="Chart 2">
          <a:extLst>
            <a:ext uri="{FF2B5EF4-FFF2-40B4-BE49-F238E27FC236}">
              <a16:creationId xmlns:a16="http://schemas.microsoft.com/office/drawing/2014/main" id="{8E65E618-EB1B-461F-9E85-2F3972279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533400</xdr:colOff>
      <xdr:row>13</xdr:row>
      <xdr:rowOff>0</xdr:rowOff>
    </xdr:from>
    <xdr:to>
      <xdr:col>27</xdr:col>
      <xdr:colOff>596900</xdr:colOff>
      <xdr:row>14</xdr:row>
      <xdr:rowOff>101600</xdr:rowOff>
    </xdr:to>
    <xdr:sp macro="" textlink="">
      <xdr:nvSpPr>
        <xdr:cNvPr id="4" name="TextBox 3">
          <a:extLst>
            <a:ext uri="{FF2B5EF4-FFF2-40B4-BE49-F238E27FC236}">
              <a16:creationId xmlns:a16="http://schemas.microsoft.com/office/drawing/2014/main" id="{F633EC57-22DF-1087-56EE-6DC2125F8218}"/>
            </a:ext>
          </a:extLst>
        </xdr:cNvPr>
        <xdr:cNvSpPr txBox="1"/>
      </xdr:nvSpPr>
      <xdr:spPr>
        <a:xfrm>
          <a:off x="25996900" y="2616200"/>
          <a:ext cx="889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Age (Ma)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2866418</xdr:colOff>
      <xdr:row>115</xdr:row>
      <xdr:rowOff>77788</xdr:rowOff>
    </xdr:from>
    <xdr:to>
      <xdr:col>31</xdr:col>
      <xdr:colOff>73025</xdr:colOff>
      <xdr:row>144</xdr:row>
      <xdr:rowOff>24134</xdr:rowOff>
    </xdr:to>
    <xdr:graphicFrame macro="">
      <xdr:nvGraphicFramePr>
        <xdr:cNvPr id="3" name="Chart 2">
          <a:extLst>
            <a:ext uri="{FF2B5EF4-FFF2-40B4-BE49-F238E27FC236}">
              <a16:creationId xmlns:a16="http://schemas.microsoft.com/office/drawing/2014/main" id="{431EF09B-4228-3064-8E7A-F2F3DB125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287602</xdr:colOff>
      <xdr:row>115</xdr:row>
      <xdr:rowOff>59531</xdr:rowOff>
    </xdr:from>
    <xdr:to>
      <xdr:col>41</xdr:col>
      <xdr:colOff>607747</xdr:colOff>
      <xdr:row>144</xdr:row>
      <xdr:rowOff>91281</xdr:rowOff>
    </xdr:to>
    <xdr:graphicFrame macro="">
      <xdr:nvGraphicFramePr>
        <xdr:cNvPr id="4" name="Chart 3">
          <a:extLst>
            <a:ext uri="{FF2B5EF4-FFF2-40B4-BE49-F238E27FC236}">
              <a16:creationId xmlns:a16="http://schemas.microsoft.com/office/drawing/2014/main" id="{92DA4891-8F14-218B-A1E7-4CAFDD0C4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3908777</xdr:colOff>
      <xdr:row>122</xdr:row>
      <xdr:rowOff>169333</xdr:rowOff>
    </xdr:from>
    <xdr:to>
      <xdr:col>29</xdr:col>
      <xdr:colOff>8537222</xdr:colOff>
      <xdr:row>139</xdr:row>
      <xdr:rowOff>141112</xdr:rowOff>
    </xdr:to>
    <xdr:cxnSp macro="">
      <xdr:nvCxnSpPr>
        <xdr:cNvPr id="8" name="Straight Arrow Connector 7">
          <a:extLst>
            <a:ext uri="{FF2B5EF4-FFF2-40B4-BE49-F238E27FC236}">
              <a16:creationId xmlns:a16="http://schemas.microsoft.com/office/drawing/2014/main" id="{5DD5F53E-9F3E-C14B-9A99-1A003B792C12}"/>
            </a:ext>
          </a:extLst>
        </xdr:cNvPr>
        <xdr:cNvCxnSpPr/>
      </xdr:nvCxnSpPr>
      <xdr:spPr>
        <a:xfrm flipV="1">
          <a:off x="45649444" y="18062222"/>
          <a:ext cx="4628445" cy="309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3615266</xdr:colOff>
      <xdr:row>23</xdr:row>
      <xdr:rowOff>143934</xdr:rowOff>
    </xdr:from>
    <xdr:to>
      <xdr:col>29</xdr:col>
      <xdr:colOff>8187266</xdr:colOff>
      <xdr:row>38</xdr:row>
      <xdr:rowOff>93134</xdr:rowOff>
    </xdr:to>
    <xdr:graphicFrame macro="">
      <xdr:nvGraphicFramePr>
        <xdr:cNvPr id="5" name="Chart 4">
          <a:extLst>
            <a:ext uri="{FF2B5EF4-FFF2-40B4-BE49-F238E27FC236}">
              <a16:creationId xmlns:a16="http://schemas.microsoft.com/office/drawing/2014/main" id="{5784FEAC-A4B4-C586-C381-9A247B8979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3149600</xdr:colOff>
      <xdr:row>41</xdr:row>
      <xdr:rowOff>0</xdr:rowOff>
    </xdr:from>
    <xdr:to>
      <xdr:col>29</xdr:col>
      <xdr:colOff>7721600</xdr:colOff>
      <xdr:row>79</xdr:row>
      <xdr:rowOff>135466</xdr:rowOff>
    </xdr:to>
    <xdr:graphicFrame macro="">
      <xdr:nvGraphicFramePr>
        <xdr:cNvPr id="9" name="Chart 8">
          <a:extLst>
            <a:ext uri="{FF2B5EF4-FFF2-40B4-BE49-F238E27FC236}">
              <a16:creationId xmlns:a16="http://schemas.microsoft.com/office/drawing/2014/main" id="{6F94F919-AD0F-AC4B-AD93-6589D6749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310444</xdr:colOff>
      <xdr:row>13</xdr:row>
      <xdr:rowOff>145345</xdr:rowOff>
    </xdr:from>
    <xdr:to>
      <xdr:col>30</xdr:col>
      <xdr:colOff>366888</xdr:colOff>
      <xdr:row>28</xdr:row>
      <xdr:rowOff>108656</xdr:rowOff>
    </xdr:to>
    <xdr:graphicFrame macro="">
      <xdr:nvGraphicFramePr>
        <xdr:cNvPr id="6" name="Chart 5">
          <a:extLst>
            <a:ext uri="{FF2B5EF4-FFF2-40B4-BE49-F238E27FC236}">
              <a16:creationId xmlns:a16="http://schemas.microsoft.com/office/drawing/2014/main" id="{58F729D6-4A60-B8C9-BA4E-BD960F019A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6350</xdr:colOff>
      <xdr:row>3</xdr:row>
      <xdr:rowOff>139700</xdr:rowOff>
    </xdr:from>
    <xdr:to>
      <xdr:col>20</xdr:col>
      <xdr:colOff>533400</xdr:colOff>
      <xdr:row>27</xdr:row>
      <xdr:rowOff>152400</xdr:rowOff>
    </xdr:to>
    <xdr:graphicFrame macro="">
      <xdr:nvGraphicFramePr>
        <xdr:cNvPr id="2" name="Chart 1">
          <a:extLst>
            <a:ext uri="{FF2B5EF4-FFF2-40B4-BE49-F238E27FC236}">
              <a16:creationId xmlns:a16="http://schemas.microsoft.com/office/drawing/2014/main" id="{5842FEEA-5236-FB62-7306-29E53AD8F0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647699</xdr:colOff>
      <xdr:row>3</xdr:row>
      <xdr:rowOff>152399</xdr:rowOff>
    </xdr:from>
    <xdr:to>
      <xdr:col>32</xdr:col>
      <xdr:colOff>771071</xdr:colOff>
      <xdr:row>33</xdr:row>
      <xdr:rowOff>30238</xdr:rowOff>
    </xdr:to>
    <xdr:graphicFrame macro="">
      <xdr:nvGraphicFramePr>
        <xdr:cNvPr id="3" name="Chart 2">
          <a:extLst>
            <a:ext uri="{FF2B5EF4-FFF2-40B4-BE49-F238E27FC236}">
              <a16:creationId xmlns:a16="http://schemas.microsoft.com/office/drawing/2014/main" id="{E2306114-8581-9047-B4C6-3030A1CE7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451756</xdr:colOff>
      <xdr:row>30</xdr:row>
      <xdr:rowOff>159052</xdr:rowOff>
    </xdr:from>
    <xdr:to>
      <xdr:col>20</xdr:col>
      <xdr:colOff>7257</xdr:colOff>
      <xdr:row>52</xdr:row>
      <xdr:rowOff>140304</xdr:rowOff>
    </xdr:to>
    <xdr:graphicFrame macro="">
      <xdr:nvGraphicFramePr>
        <xdr:cNvPr id="4" name="Chart 3">
          <a:extLst>
            <a:ext uri="{FF2B5EF4-FFF2-40B4-BE49-F238E27FC236}">
              <a16:creationId xmlns:a16="http://schemas.microsoft.com/office/drawing/2014/main" id="{BB454A55-3FE7-2A16-1AEB-2DAB30846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508000</xdr:colOff>
      <xdr:row>4</xdr:row>
      <xdr:rowOff>91440</xdr:rowOff>
    </xdr:from>
    <xdr:to>
      <xdr:col>32</xdr:col>
      <xdr:colOff>142240</xdr:colOff>
      <xdr:row>30</xdr:row>
      <xdr:rowOff>50800</xdr:rowOff>
    </xdr:to>
    <xdr:cxnSp macro="">
      <xdr:nvCxnSpPr>
        <xdr:cNvPr id="6" name="Straight Arrow Connector 5">
          <a:extLst>
            <a:ext uri="{FF2B5EF4-FFF2-40B4-BE49-F238E27FC236}">
              <a16:creationId xmlns:a16="http://schemas.microsoft.com/office/drawing/2014/main" id="{DA1FD787-0008-C770-40A6-481985464693}"/>
            </a:ext>
          </a:extLst>
        </xdr:cNvPr>
        <xdr:cNvCxnSpPr/>
      </xdr:nvCxnSpPr>
      <xdr:spPr>
        <a:xfrm flipV="1">
          <a:off x="19171920" y="863600"/>
          <a:ext cx="8686800" cy="4978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26</xdr:row>
      <xdr:rowOff>190500</xdr:rowOff>
    </xdr:from>
    <xdr:to>
      <xdr:col>18</xdr:col>
      <xdr:colOff>749300</xdr:colOff>
      <xdr:row>59</xdr:row>
      <xdr:rowOff>25400</xdr:rowOff>
    </xdr:to>
    <xdr:graphicFrame macro="">
      <xdr:nvGraphicFramePr>
        <xdr:cNvPr id="2" name="Chart 1">
          <a:extLst>
            <a:ext uri="{FF2B5EF4-FFF2-40B4-BE49-F238E27FC236}">
              <a16:creationId xmlns:a16="http://schemas.microsoft.com/office/drawing/2014/main" id="{C6B893AF-6FBF-4547-8683-BFE006E014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50800</xdr:colOff>
      <xdr:row>17</xdr:row>
      <xdr:rowOff>101600</xdr:rowOff>
    </xdr:from>
    <xdr:to>
      <xdr:col>34</xdr:col>
      <xdr:colOff>635000</xdr:colOff>
      <xdr:row>50</xdr:row>
      <xdr:rowOff>50800</xdr:rowOff>
    </xdr:to>
    <xdr:graphicFrame macro="">
      <xdr:nvGraphicFramePr>
        <xdr:cNvPr id="3" name="Chart 2">
          <a:extLst>
            <a:ext uri="{FF2B5EF4-FFF2-40B4-BE49-F238E27FC236}">
              <a16:creationId xmlns:a16="http://schemas.microsoft.com/office/drawing/2014/main" id="{D489B922-883B-364B-A269-4577998CB5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nicoleczwakiel/Downloads/Clumped_UW_Master.xls" TargetMode="External"/><Relationship Id="rId1" Type="http://schemas.openxmlformats.org/officeDocument/2006/relationships/externalLinkPath" Target="/Users/nicoleczwakiel/Downloads/Clumped_UW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analysis"/>
      <sheetName val="statistics"/>
      <sheetName val="graphs"/>
      <sheetName val="d18o comparison between labs"/>
      <sheetName val="d18O water"/>
      <sheetName val="need to calibrate"/>
    </sheetNames>
    <sheetDataSet>
      <sheetData sheetId="0">
        <row r="12">
          <cell r="DP12">
            <v>-8.9211218890000001</v>
          </cell>
          <cell r="DQ12">
            <v>-5.3064248279999999</v>
          </cell>
          <cell r="DR12">
            <v>0.65275816466666658</v>
          </cell>
          <cell r="DS12">
            <v>0.98941446066666661</v>
          </cell>
          <cell r="DT12">
            <v>7.0751852397594348</v>
          </cell>
        </row>
        <row r="13">
          <cell r="DP13">
            <v>0.78230525813937668</v>
          </cell>
          <cell r="DQ13">
            <v>0.75140248750989014</v>
          </cell>
          <cell r="DR13">
            <v>2.9210232978996904E-2</v>
          </cell>
          <cell r="DS13">
            <v>0.52504905193196361</v>
          </cell>
          <cell r="DT13">
            <v>8.0311301151469454</v>
          </cell>
        </row>
        <row r="14">
          <cell r="DP14">
            <v>0.39115262906968834</v>
          </cell>
          <cell r="DQ14">
            <v>0.37570124375494507</v>
          </cell>
          <cell r="DR14">
            <v>1.4605116489498452E-2</v>
          </cell>
          <cell r="DS14">
            <v>0.2625245259659818</v>
          </cell>
          <cell r="DT14">
            <v>4.0155650575734727</v>
          </cell>
        </row>
        <row r="16">
          <cell r="DP16">
            <v>-9.372778383</v>
          </cell>
          <cell r="DQ16">
            <v>-4.8736622050000005</v>
          </cell>
          <cell r="DR16">
            <v>0.65880055949999994</v>
          </cell>
          <cell r="DS16">
            <v>1.1977305535</v>
          </cell>
          <cell r="DT16">
            <v>11.645939936168702</v>
          </cell>
        </row>
        <row r="17">
          <cell r="DP17">
            <v>0.96132922648448804</v>
          </cell>
          <cell r="DQ17">
            <v>0.95514442368475105</v>
          </cell>
          <cell r="DR17">
            <v>6.4656366218524917E-3</v>
          </cell>
          <cell r="DS17">
            <v>0.71161771939965246</v>
          </cell>
          <cell r="DT17">
            <v>1.9097934140519237</v>
          </cell>
        </row>
        <row r="18">
          <cell r="DP18">
            <v>0.48066461324224402</v>
          </cell>
          <cell r="DQ18">
            <v>0.47757221184237553</v>
          </cell>
          <cell r="DR18">
            <v>3.2328183109262458E-3</v>
          </cell>
          <cell r="DS18">
            <v>0.35580885969982623</v>
          </cell>
          <cell r="DT18">
            <v>0.95489670702596186</v>
          </cell>
        </row>
        <row r="36">
          <cell r="DP36">
            <v>-8.3535475813333342</v>
          </cell>
          <cell r="DQ36">
            <v>-6.5577331030000003</v>
          </cell>
          <cell r="DR36">
            <v>0.60678844133333332</v>
          </cell>
          <cell r="DS36">
            <v>0.39345038566666668</v>
          </cell>
          <cell r="DT36">
            <v>20.769942498551263</v>
          </cell>
        </row>
        <row r="37">
          <cell r="DP37">
            <v>2.4820431359763993E-2</v>
          </cell>
          <cell r="DQ37">
            <v>8.7053456147617336E-2</v>
          </cell>
          <cell r="DR37">
            <v>1.2974536876548762E-2</v>
          </cell>
          <cell r="DS37">
            <v>0.11598214344018773</v>
          </cell>
          <cell r="DT37">
            <v>4.176346943132363</v>
          </cell>
        </row>
        <row r="38">
          <cell r="DP38">
            <v>1.2410215679881997E-2</v>
          </cell>
          <cell r="DQ38">
            <v>4.3526728073808668E-2</v>
          </cell>
          <cell r="DR38">
            <v>6.4872684382743812E-3</v>
          </cell>
          <cell r="DS38">
            <v>5.7991071720093865E-2</v>
          </cell>
          <cell r="DT38">
            <v>2.0881734715661815</v>
          </cell>
        </row>
        <row r="43">
          <cell r="DP43">
            <v>-8.3418535550000001</v>
          </cell>
          <cell r="DQ43">
            <v>-5.8044245019999998</v>
          </cell>
          <cell r="DR43">
            <v>0.62853814050000001</v>
          </cell>
          <cell r="DS43">
            <v>0.56459026000000001</v>
          </cell>
          <cell r="DT43">
            <v>18.950750474960291</v>
          </cell>
        </row>
        <row r="44">
          <cell r="DP44">
            <v>2.7279728575045317E-2</v>
          </cell>
          <cell r="DQ44">
            <v>0.11896094977695947</v>
          </cell>
          <cell r="DR44">
            <v>2.7180098415639554E-2</v>
          </cell>
          <cell r="DS44">
            <v>0.23310282522563788</v>
          </cell>
          <cell r="DT44">
            <v>8.8513404216683398</v>
          </cell>
        </row>
        <row r="45">
          <cell r="DP45">
            <v>1.3639864287522658E-2</v>
          </cell>
          <cell r="DQ45">
            <v>5.9480474888479733E-2</v>
          </cell>
          <cell r="DR45">
            <v>1.3590049207819777E-2</v>
          </cell>
          <cell r="DS45">
            <v>0.11655141261281894</v>
          </cell>
          <cell r="DT45">
            <v>4.4256702108341699</v>
          </cell>
        </row>
        <row r="47">
          <cell r="DP47">
            <v>-8.3418535550000001</v>
          </cell>
          <cell r="DQ47">
            <v>-5.8044245019999998</v>
          </cell>
          <cell r="DR47">
            <v>0.62853814050000001</v>
          </cell>
          <cell r="DS47">
            <v>0.56459026000000001</v>
          </cell>
          <cell r="DT47">
            <v>13.907555357546158</v>
          </cell>
        </row>
        <row r="48">
          <cell r="DP48">
            <v>1.585776193686601E-2</v>
          </cell>
          <cell r="DQ48">
            <v>1.2534698062328675E-3</v>
          </cell>
          <cell r="DR48">
            <v>6.6858904846972232E-3</v>
          </cell>
          <cell r="DS48">
            <v>0.30983381835536544</v>
          </cell>
          <cell r="DT48">
            <v>2.0222642178165149</v>
          </cell>
        </row>
        <row r="49">
          <cell r="DP49">
            <v>7.9288809684330049E-3</v>
          </cell>
          <cell r="DQ49">
            <v>6.2673490311643374E-4</v>
          </cell>
          <cell r="DR49">
            <v>3.3429452423486116E-3</v>
          </cell>
          <cell r="DS49">
            <v>0.15491690917768272</v>
          </cell>
          <cell r="DT49">
            <v>1.0111321089082574</v>
          </cell>
        </row>
        <row r="54">
          <cell r="DP54">
            <v>-8.865690128333334</v>
          </cell>
          <cell r="DQ54">
            <v>-5.8130544260000008</v>
          </cell>
          <cell r="DR54">
            <v>0.60000177666666665</v>
          </cell>
          <cell r="DS54">
            <v>0.33264831833333336</v>
          </cell>
          <cell r="DT54">
            <v>23.36616019547057</v>
          </cell>
        </row>
        <row r="55">
          <cell r="DP55">
            <v>0.18983873800081147</v>
          </cell>
          <cell r="DQ55">
            <v>0.11813522307407871</v>
          </cell>
          <cell r="DR55">
            <v>3.3320810422300735E-2</v>
          </cell>
          <cell r="DS55">
            <v>0.13384238235196563</v>
          </cell>
          <cell r="DT55">
            <v>11.432334039709772</v>
          </cell>
        </row>
        <row r="56">
          <cell r="DP56">
            <v>9.4919369000405734E-2</v>
          </cell>
          <cell r="DQ56">
            <v>5.9067611537039356E-2</v>
          </cell>
          <cell r="DR56">
            <v>1.6660405211150368E-2</v>
          </cell>
          <cell r="DS56">
            <v>6.6921191175982817E-2</v>
          </cell>
          <cell r="DT56">
            <v>5.7161670198548862</v>
          </cell>
        </row>
        <row r="58">
          <cell r="DP58">
            <v>-8.9752284684999992</v>
          </cell>
          <cell r="DQ58">
            <v>-5.7468283499999995</v>
          </cell>
          <cell r="DR58">
            <v>0.61907208600000008</v>
          </cell>
          <cell r="DS58">
            <v>0.36021211250000001</v>
          </cell>
          <cell r="DT58">
            <v>16.813100170540338</v>
          </cell>
        </row>
        <row r="59">
          <cell r="DP59">
            <v>9.2523020201025919E-3</v>
          </cell>
          <cell r="DQ59">
            <v>3.9956263681406048E-2</v>
          </cell>
          <cell r="DR59">
            <v>6.204242579371631E-3</v>
          </cell>
          <cell r="DS59">
            <v>0.1768303993495611</v>
          </cell>
          <cell r="DT59">
            <v>1.9341533157901307</v>
          </cell>
        </row>
        <row r="60">
          <cell r="DP60">
            <v>4.626151010051296E-3</v>
          </cell>
          <cell r="DQ60">
            <v>1.9978131840703024E-2</v>
          </cell>
          <cell r="DR60">
            <v>3.1021212896858155E-3</v>
          </cell>
          <cell r="DS60">
            <v>8.8415199674780551E-2</v>
          </cell>
          <cell r="DT60">
            <v>0.96707665789506536</v>
          </cell>
        </row>
        <row r="65">
          <cell r="DP65">
            <v>-5.7281058469999993</v>
          </cell>
          <cell r="DQ65">
            <v>-5.646577612333334</v>
          </cell>
          <cell r="DR65">
            <v>0.66581926400000002</v>
          </cell>
          <cell r="DS65">
            <v>0.66617272666666671</v>
          </cell>
          <cell r="DT65">
            <v>3.2939171658659916</v>
          </cell>
        </row>
        <row r="66">
          <cell r="DP66">
            <v>6.8587822500793816E-2</v>
          </cell>
          <cell r="DQ66">
            <v>2.8744294118014845E-2</v>
          </cell>
          <cell r="DR66">
            <v>1.3574856389980107E-2</v>
          </cell>
          <cell r="DS66">
            <v>3.0214801584560479E-2</v>
          </cell>
          <cell r="DT66">
            <v>3.6915214205991225</v>
          </cell>
        </row>
        <row r="67">
          <cell r="DP67">
            <v>3.4293911250396908E-2</v>
          </cell>
          <cell r="DQ67">
            <v>1.4372147059007422E-2</v>
          </cell>
          <cell r="DR67">
            <v>6.7874281949900535E-3</v>
          </cell>
          <cell r="DS67">
            <v>1.510740079228024E-2</v>
          </cell>
          <cell r="DT67">
            <v>1.8457607102995612</v>
          </cell>
        </row>
        <row r="72">
          <cell r="DP72">
            <v>-8.489709972</v>
          </cell>
          <cell r="DQ72">
            <v>-5.248019230333334</v>
          </cell>
          <cell r="DR72">
            <v>0.61437099499999992</v>
          </cell>
          <cell r="DS72">
            <v>0.45746856966666671</v>
          </cell>
          <cell r="DT72">
            <v>18.584267018398009</v>
          </cell>
        </row>
        <row r="73">
          <cell r="DP73">
            <v>3.9678722289024568E-2</v>
          </cell>
          <cell r="DQ73">
            <v>5.9608026443861151E-2</v>
          </cell>
          <cell r="DR73">
            <v>2.9738545583125494E-2</v>
          </cell>
          <cell r="DS73">
            <v>9.7511379830868328E-2</v>
          </cell>
          <cell r="DT73">
            <v>9.4194377685784509</v>
          </cell>
        </row>
        <row r="74">
          <cell r="DP74">
            <v>1.9839361144512284E-2</v>
          </cell>
          <cell r="DQ74">
            <v>2.9804013221930575E-2</v>
          </cell>
          <cell r="DR74">
            <v>1.4869272791562747E-2</v>
          </cell>
          <cell r="DS74">
            <v>4.8755689915434164E-2</v>
          </cell>
          <cell r="DT74">
            <v>4.7097188842892255</v>
          </cell>
        </row>
        <row r="76">
          <cell r="DP76">
            <v>-8.5125510089999992</v>
          </cell>
          <cell r="DQ76">
            <v>-5.2807279245000007</v>
          </cell>
          <cell r="DR76">
            <v>0.62900080899999999</v>
          </cell>
          <cell r="DS76">
            <v>0.50091294750000004</v>
          </cell>
          <cell r="DT76">
            <v>13.872664930944268</v>
          </cell>
        </row>
        <row r="77">
          <cell r="DP77">
            <v>4.3039723008912482E-3</v>
          </cell>
          <cell r="DQ77">
            <v>2.6212241196298201E-2</v>
          </cell>
          <cell r="DR77">
            <v>2.2013028886359323E-2</v>
          </cell>
          <cell r="DS77">
            <v>8.7706639435605166E-2</v>
          </cell>
          <cell r="DT77">
            <v>6.6525521696003018</v>
          </cell>
        </row>
        <row r="78">
          <cell r="DP78">
            <v>2.1519861504456241E-3</v>
          </cell>
          <cell r="DQ78">
            <v>1.31061205981491E-2</v>
          </cell>
          <cell r="DR78">
            <v>1.1006514443179662E-2</v>
          </cell>
          <cell r="DS78">
            <v>4.3853319717802583E-2</v>
          </cell>
          <cell r="DT78">
            <v>3.3262760848001509</v>
          </cell>
        </row>
        <row r="83">
          <cell r="DP83">
            <v>-8.2179783216666671</v>
          </cell>
          <cell r="DQ83">
            <v>-5.2226787186666668</v>
          </cell>
          <cell r="DR83">
            <v>0.59865337333333335</v>
          </cell>
          <cell r="DS83">
            <v>0.39950064133333335</v>
          </cell>
          <cell r="DT83">
            <v>23.77935803383923</v>
          </cell>
        </row>
        <row r="84">
          <cell r="DP84">
            <v>2.0445079706102681E-2</v>
          </cell>
          <cell r="DQ84">
            <v>7.8277214352876351E-2</v>
          </cell>
          <cell r="DR84">
            <v>3.1916860348067261E-2</v>
          </cell>
          <cell r="DS84">
            <v>0.19260654237212257</v>
          </cell>
          <cell r="DT84">
            <v>10.926169862588948</v>
          </cell>
        </row>
        <row r="85">
          <cell r="DP85">
            <v>1.0222539853051341E-2</v>
          </cell>
          <cell r="DQ85">
            <v>3.9138607176438175E-2</v>
          </cell>
          <cell r="DR85">
            <v>1.595843017403363E-2</v>
          </cell>
          <cell r="DS85">
            <v>9.6303271186061287E-2</v>
          </cell>
          <cell r="DT85">
            <v>5.4630849312944738</v>
          </cell>
        </row>
        <row r="87">
          <cell r="DP87">
            <v>-8.2289867690000005</v>
          </cell>
          <cell r="DQ87">
            <v>-5.2672073680000002</v>
          </cell>
          <cell r="DR87">
            <v>0.61653015799999999</v>
          </cell>
          <cell r="DS87">
            <v>0.50118701649999997</v>
          </cell>
          <cell r="DT87">
            <v>17.629639758380506</v>
          </cell>
        </row>
        <row r="88">
          <cell r="DP88">
            <v>1.0434897806549562E-2</v>
          </cell>
          <cell r="DQ88">
            <v>1.8916683244861909E-2</v>
          </cell>
          <cell r="DR88">
            <v>1.0949674371680771E-2</v>
          </cell>
          <cell r="DS88">
            <v>0.11024448721760217</v>
          </cell>
          <cell r="DT88">
            <v>3.4421165766469644</v>
          </cell>
        </row>
        <row r="89">
          <cell r="DP89">
            <v>5.2174489032747809E-3</v>
          </cell>
          <cell r="DQ89">
            <v>9.4583416224309543E-3</v>
          </cell>
          <cell r="DR89">
            <v>5.4748371858403854E-3</v>
          </cell>
          <cell r="DS89">
            <v>5.5122243608801087E-2</v>
          </cell>
          <cell r="DT89">
            <v>1.7210582883234822</v>
          </cell>
        </row>
        <row r="94">
          <cell r="DP94">
            <v>-8.3020007756666647</v>
          </cell>
          <cell r="DQ94">
            <v>-5.8593444766666662</v>
          </cell>
          <cell r="DR94">
            <v>0.66142838999999998</v>
          </cell>
          <cell r="DS94">
            <v>0.43961079400000003</v>
          </cell>
          <cell r="DT94">
            <v>4.5126437789767424</v>
          </cell>
        </row>
        <row r="95">
          <cell r="DP95">
            <v>3.3793243693244511E-2</v>
          </cell>
          <cell r="DQ95">
            <v>7.8444645101774138E-2</v>
          </cell>
          <cell r="DR95">
            <v>1.6722769206466627E-2</v>
          </cell>
          <cell r="DS95">
            <v>0.21707553731897322</v>
          </cell>
          <cell r="DT95">
            <v>4.5235147118846806</v>
          </cell>
        </row>
        <row r="96">
          <cell r="DP96">
            <v>1.6896621846622255E-2</v>
          </cell>
          <cell r="DQ96">
            <v>3.9222322550887069E-2</v>
          </cell>
          <cell r="DR96">
            <v>8.3613846032333135E-3</v>
          </cell>
          <cell r="DS96">
            <v>0.10853776865948661</v>
          </cell>
          <cell r="DT96">
            <v>2.2617573559423403</v>
          </cell>
        </row>
        <row r="101">
          <cell r="DP101">
            <v>-8.5061436716666652</v>
          </cell>
          <cell r="DQ101">
            <v>-5.6291681433333336</v>
          </cell>
          <cell r="DR101">
            <v>0.63354470600000001</v>
          </cell>
          <cell r="DS101">
            <v>0.33947975466666663</v>
          </cell>
          <cell r="DT101">
            <v>12.451038840750167</v>
          </cell>
        </row>
        <row r="102">
          <cell r="DP102">
            <v>1.3253954498405787E-2</v>
          </cell>
          <cell r="DQ102">
            <v>3.9874623918926842E-2</v>
          </cell>
          <cell r="DR102">
            <v>1.3409931971620114E-2</v>
          </cell>
          <cell r="DS102">
            <v>0.12285732286351089</v>
          </cell>
          <cell r="DT102">
            <v>4.0373233484041888</v>
          </cell>
        </row>
        <row r="103">
          <cell r="DP103">
            <v>6.6269772492028936E-3</v>
          </cell>
          <cell r="DQ103">
            <v>1.9937311959463421E-2</v>
          </cell>
          <cell r="DR103">
            <v>6.7049659858100571E-3</v>
          </cell>
          <cell r="DS103">
            <v>6.1428661431755446E-2</v>
          </cell>
          <cell r="DT103">
            <v>2.0186616742020944</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DFB3-4B04-E948-860E-EBD0359AB648}">
  <dimension ref="A1:AD31"/>
  <sheetViews>
    <sheetView tabSelected="1" topLeftCell="P7" workbookViewId="0">
      <selection activeCell="R15" sqref="R15"/>
    </sheetView>
  </sheetViews>
  <sheetFormatPr baseColWidth="10" defaultRowHeight="15" x14ac:dyDescent="0.2"/>
  <cols>
    <col min="1" max="1" width="19.5" bestFit="1" customWidth="1"/>
    <col min="2" max="2" width="19.5" customWidth="1"/>
    <col min="5" max="5" width="12.6640625" bestFit="1" customWidth="1"/>
    <col min="6" max="6" width="22.1640625" bestFit="1" customWidth="1"/>
    <col min="7" max="7" width="13.1640625" bestFit="1" customWidth="1"/>
    <col min="8" max="8" width="16.5" bestFit="1" customWidth="1"/>
    <col min="9" max="9" width="22.1640625" bestFit="1" customWidth="1"/>
    <col min="10" max="10" width="13.1640625" bestFit="1" customWidth="1"/>
    <col min="11" max="11" width="11.1640625" bestFit="1" customWidth="1"/>
  </cols>
  <sheetData>
    <row r="1" spans="1:16" ht="16" x14ac:dyDescent="0.2">
      <c r="A1" s="536" t="s">
        <v>632</v>
      </c>
      <c r="B1" s="413" t="s">
        <v>396</v>
      </c>
      <c r="C1" s="413" t="s">
        <v>397</v>
      </c>
      <c r="D1" s="414" t="s">
        <v>398</v>
      </c>
      <c r="E1" s="413" t="s">
        <v>399</v>
      </c>
      <c r="F1" s="415" t="s">
        <v>400</v>
      </c>
      <c r="G1" s="416" t="s">
        <v>401</v>
      </c>
      <c r="H1" s="417" t="s">
        <v>402</v>
      </c>
      <c r="I1" s="413" t="s">
        <v>403</v>
      </c>
      <c r="J1" s="413" t="s">
        <v>404</v>
      </c>
      <c r="K1" s="413" t="s">
        <v>405</v>
      </c>
      <c r="L1" s="415" t="s">
        <v>406</v>
      </c>
      <c r="M1" s="415" t="s">
        <v>407</v>
      </c>
      <c r="N1" s="415" t="s">
        <v>408</v>
      </c>
      <c r="O1" s="415" t="s">
        <v>409</v>
      </c>
      <c r="P1" s="418" t="s">
        <v>410</v>
      </c>
    </row>
    <row r="2" spans="1:16" ht="16" x14ac:dyDescent="0.2">
      <c r="A2">
        <v>3.6606406250000001</v>
      </c>
      <c r="B2" s="413">
        <v>2210</v>
      </c>
      <c r="C2" s="420">
        <f>Clumped_Statistics!N4</f>
        <v>24.402488205498134</v>
      </c>
      <c r="D2" s="419">
        <f>Triple_Statistics!D3</f>
        <v>-5.9399070358522339</v>
      </c>
      <c r="E2" s="413">
        <f>D2*1.03091+30.91</f>
        <v>24.786490437669574</v>
      </c>
      <c r="F2" s="413">
        <f>Triple_Statistics!J3</f>
        <v>12.942030779984144</v>
      </c>
      <c r="G2" s="165">
        <f>Triple_Statistics!G3</f>
        <v>-0.14523617110539089</v>
      </c>
      <c r="H2" s="413">
        <f>1000*G2</f>
        <v>-145.23617110539089</v>
      </c>
      <c r="I2" s="413">
        <f>EXP((16.1*1000/(273.15+C2)-24.6)/1000)</f>
        <v>1.0299477787521354</v>
      </c>
      <c r="J2" s="413">
        <f>-1.39/(273.15+C2)+0.5305</f>
        <v>0.52582855527983341</v>
      </c>
      <c r="K2" s="413">
        <f t="shared" ref="K2:K10" si="0">I2^J2</f>
        <v>1.0156372032468139</v>
      </c>
      <c r="L2" s="413">
        <f t="shared" ref="L2:L10" si="1">(1000+E2)/I2-1000</f>
        <v>-5.0112135983430335</v>
      </c>
      <c r="M2" s="413">
        <f t="shared" ref="M2:M10" si="2">(1000+F2)/K2-1000</f>
        <v>-2.65367638977159</v>
      </c>
      <c r="N2" s="413">
        <f t="shared" ref="N2:O10" si="3">1000*LN(L2/1000+1)</f>
        <v>-5.0238118351340422</v>
      </c>
      <c r="O2" s="413">
        <f t="shared" si="3"/>
        <v>-2.6572036304477842</v>
      </c>
      <c r="P2" s="413">
        <f t="shared" ref="P2:P10" si="4">(O2-0.528*N2)*1000</f>
        <v>-4.6309814970095786</v>
      </c>
    </row>
    <row r="3" spans="1:16" ht="16" x14ac:dyDescent="0.2">
      <c r="A3">
        <v>3.45</v>
      </c>
      <c r="B3" s="413">
        <v>3670</v>
      </c>
      <c r="C3" s="420">
        <f>Clumped_Statistics!N6</f>
        <v>14.14053938447436</v>
      </c>
      <c r="D3" s="419">
        <f>Clumped_Statistics!E6</f>
        <v>-6.5821954375700464</v>
      </c>
      <c r="E3" s="413">
        <f>D3*1.03091+30.91</f>
        <v>24.124348901454663</v>
      </c>
      <c r="F3" s="413">
        <f>Triple_Statistics!$J$4</f>
        <v>12.555801410854741</v>
      </c>
      <c r="G3" s="165">
        <f>Triple_Statistics!$G$4</f>
        <v>-9.2077604860147488E-2</v>
      </c>
      <c r="H3" s="413">
        <f>1000*G3</f>
        <v>-92.077604860147488</v>
      </c>
      <c r="I3" s="413">
        <f>EXP((16.1*1000/(273.15+C3)-24.6)/1000)</f>
        <v>1.0319403128813007</v>
      </c>
      <c r="J3" s="413">
        <f>-1.39/(273.15+C3)+0.5305</f>
        <v>0.52566169240038985</v>
      </c>
      <c r="K3" s="413">
        <f t="shared" ref="K3" si="5">I3^J3</f>
        <v>1.0166645697408971</v>
      </c>
      <c r="L3" s="413">
        <f t="shared" ref="L3" si="6">(1000+E3)/I3-1000</f>
        <v>-7.5740465628510947</v>
      </c>
      <c r="M3" s="413">
        <f t="shared" ref="M3" si="7">(1000+F3)/K3-1000</f>
        <v>-4.0414198078029813</v>
      </c>
      <c r="N3" s="413">
        <f t="shared" ref="N3" si="8">1000*LN(L3/1000+1)</f>
        <v>-7.6028753126318236</v>
      </c>
      <c r="O3" s="413">
        <f t="shared" ref="O3" si="9">1000*LN(M3/1000+1)</f>
        <v>-4.0496084146794047</v>
      </c>
      <c r="P3" s="413">
        <f t="shared" ref="P3" si="10">(O3-0.528*N3)*1000</f>
        <v>-35.290249609801982</v>
      </c>
    </row>
    <row r="4" spans="1:16" ht="16" x14ac:dyDescent="0.2">
      <c r="A4">
        <v>3.2957739130434782</v>
      </c>
      <c r="B4" s="413">
        <v>5020</v>
      </c>
      <c r="C4" s="420">
        <f>Clumped_Statistics!N7</f>
        <v>20.769942498551263</v>
      </c>
      <c r="D4" s="413">
        <f>Triple_Statistics!D6</f>
        <v>-6.1005066239583252</v>
      </c>
      <c r="E4" s="413">
        <f t="shared" ref="E4:E10" si="11">D4*1.03091+30.91</f>
        <v>24.620926716295124</v>
      </c>
      <c r="F4" s="413">
        <f>Triple_Statistics!J6</f>
        <v>12.886723042269686</v>
      </c>
      <c r="G4" s="165">
        <f>Triple_Statistics!G6</f>
        <v>-0.11312626393413971</v>
      </c>
      <c r="H4" s="413">
        <f t="shared" ref="H4:H11" si="12">1000*G4</f>
        <v>-113.12626393413971</v>
      </c>
      <c r="I4" s="413">
        <f>EXP((16.1*1000/(273.15+C4)-24.6)/1000)</f>
        <v>1.0306367557890188</v>
      </c>
      <c r="J4" s="413">
        <f>-1.39/(273.15+C4)+0.5305</f>
        <v>0.52577082106717932</v>
      </c>
      <c r="K4" s="413">
        <f>I4^J4</f>
        <v>1.0159926265667993</v>
      </c>
      <c r="L4" s="413">
        <f>(1000+E4)/I4-1000</f>
        <v>-5.8370022599457343</v>
      </c>
      <c r="M4" s="413">
        <f>(1000+F4)/K4-1000</f>
        <v>-3.0570138437176411</v>
      </c>
      <c r="N4" s="413">
        <f>1000*LN(L4/1000+1)</f>
        <v>-5.854104139247605</v>
      </c>
      <c r="O4" s="413">
        <f>1000*LN(M4/1000+1)</f>
        <v>-3.0616960553633867</v>
      </c>
      <c r="P4" s="413">
        <f>(O4-0.528*N4)*1000</f>
        <v>29.270930159349007</v>
      </c>
    </row>
    <row r="5" spans="1:16" ht="16" x14ac:dyDescent="0.2">
      <c r="A5">
        <v>3.11913793103448</v>
      </c>
      <c r="B5" s="413">
        <v>6690</v>
      </c>
      <c r="C5" s="420">
        <f>Clumped_Statistics!O10</f>
        <v>3.6915214205991225</v>
      </c>
      <c r="D5" s="413">
        <f>Triple_Statistics!D9</f>
        <v>-6.0083948950243196</v>
      </c>
      <c r="E5" s="413">
        <f t="shared" si="11"/>
        <v>24.715885618770479</v>
      </c>
      <c r="F5" s="413">
        <f>Triple_Statistics!J9</f>
        <v>12.893331385263586</v>
      </c>
      <c r="G5" s="165">
        <f>Triple_Statistics!G9</f>
        <v>-0.15665622144722668</v>
      </c>
      <c r="H5" s="413">
        <f t="shared" si="12"/>
        <v>-156.6562214472267</v>
      </c>
      <c r="I5" s="413">
        <f>EXP((16.1*1000/(273.15+C5)-24.6)/1000)</f>
        <v>1.0341253698603388</v>
      </c>
      <c r="J5" s="413">
        <f t="shared" ref="J5:J11" si="13">-1.39/(273.15+C5)+0.5305</f>
        <v>0.52547907686366091</v>
      </c>
      <c r="K5" s="413">
        <f>I5^J5</f>
        <v>1.0177893632666895</v>
      </c>
      <c r="L5" s="413">
        <f>(1000+E5)/I5-1000</f>
        <v>-9.098978243652482</v>
      </c>
      <c r="M5" s="413">
        <f>(1000+F5)/K5-1000</f>
        <v>-4.8104569158707591</v>
      </c>
      <c r="N5" s="413">
        <f>1000*LN(L5/1000+1)</f>
        <v>-9.1406267780960384</v>
      </c>
      <c r="O5" s="413">
        <f>1000*LN(M5/1000+1)</f>
        <v>-4.8220644035809928</v>
      </c>
      <c r="P5" s="413">
        <f>(O5-0.528*N5)*1000</f>
        <v>4.1865352537158174</v>
      </c>
    </row>
    <row r="6" spans="1:16" ht="16" x14ac:dyDescent="0.2">
      <c r="A6">
        <v>2.9851653846153847</v>
      </c>
      <c r="B6" s="413">
        <v>7170</v>
      </c>
      <c r="C6" s="420">
        <f>Clumped_Statistics!N11</f>
        <v>13.872664930944268</v>
      </c>
      <c r="D6" s="413">
        <f>Triple_Statistics!D10</f>
        <v>-6.5947607156010735</v>
      </c>
      <c r="E6" s="413">
        <f t="shared" si="11"/>
        <v>24.111395230679697</v>
      </c>
      <c r="F6" s="413">
        <f>Triple_Statistics!J10</f>
        <v>12.670905435928482</v>
      </c>
      <c r="G6" s="165">
        <f>Triple_Statistics!G10</f>
        <v>-5.9911245870401419E-2</v>
      </c>
      <c r="H6" s="413">
        <f t="shared" si="12"/>
        <v>-59.911245870401416</v>
      </c>
      <c r="I6" s="413">
        <f t="shared" ref="I6:I10" si="14">EXP((16.1*1000/(273.15+C6)-24.6)/1000)</f>
        <v>1.0319942870041061</v>
      </c>
      <c r="J6" s="413">
        <f t="shared" si="13"/>
        <v>0.52565717687195734</v>
      </c>
      <c r="K6" s="413">
        <f t="shared" si="0"/>
        <v>1.0166923769502583</v>
      </c>
      <c r="L6" s="413">
        <f t="shared" si="1"/>
        <v>-7.6385033063610308</v>
      </c>
      <c r="M6" s="413">
        <f t="shared" si="2"/>
        <v>-3.9554457233100493</v>
      </c>
      <c r="N6" s="413">
        <f t="shared" si="3"/>
        <v>-7.6678260896315251</v>
      </c>
      <c r="O6" s="413">
        <f t="shared" si="3"/>
        <v>-3.9632891885109673</v>
      </c>
      <c r="P6" s="413">
        <f t="shared" si="4"/>
        <v>85.322986814477815</v>
      </c>
    </row>
    <row r="7" spans="1:16" ht="16" x14ac:dyDescent="0.2">
      <c r="A7">
        <v>2.8810884615384618</v>
      </c>
      <c r="B7" s="413">
        <v>7770</v>
      </c>
      <c r="C7" s="420">
        <f>Clumped_Statistics!N12</f>
        <v>17.629639758380506</v>
      </c>
      <c r="D7" s="413">
        <f>Triple_Statistics!D12</f>
        <v>-6.7120365232187247</v>
      </c>
      <c r="E7" s="413">
        <f t="shared" si="11"/>
        <v>23.990494427848585</v>
      </c>
      <c r="F7" s="413">
        <f>Triple_Statistics!J12</f>
        <v>12.561223769501073</v>
      </c>
      <c r="G7" s="165">
        <f>Triple_Statistics!G12</f>
        <v>-0.10575728840298027</v>
      </c>
      <c r="H7" s="413">
        <f t="shared" si="12"/>
        <v>-105.75728840298027</v>
      </c>
      <c r="I7" s="413">
        <f t="shared" si="14"/>
        <v>1.0312466274260534</v>
      </c>
      <c r="J7" s="413">
        <f t="shared" si="13"/>
        <v>0.52571974784357323</v>
      </c>
      <c r="K7" s="413">
        <f t="shared" si="0"/>
        <v>1.0163070817758826</v>
      </c>
      <c r="L7" s="413">
        <f t="shared" si="1"/>
        <v>-7.0362731913274956</v>
      </c>
      <c r="M7" s="413">
        <f t="shared" si="2"/>
        <v>-3.6857541126605611</v>
      </c>
      <c r="N7" s="413">
        <f t="shared" si="3"/>
        <v>-7.0611444977433102</v>
      </c>
      <c r="O7" s="413">
        <f t="shared" si="3"/>
        <v>-3.6925632406801978</v>
      </c>
      <c r="P7" s="413">
        <f t="shared" si="4"/>
        <v>35.721054128269984</v>
      </c>
    </row>
    <row r="8" spans="1:16" ht="16" x14ac:dyDescent="0.2">
      <c r="A8">
        <v>2.8741500000000002</v>
      </c>
      <c r="B8" s="413">
        <v>7810</v>
      </c>
      <c r="C8" s="420">
        <f>Clumped_Statistics!N13</f>
        <v>4.5126437789767424</v>
      </c>
      <c r="D8" s="413">
        <f>Triple_Statistics!D13</f>
        <v>-6.9953311514361225</v>
      </c>
      <c r="E8" s="413">
        <f t="shared" si="11"/>
        <v>23.698443162672987</v>
      </c>
      <c r="F8" s="413">
        <f>Triple_Statistics!J13</f>
        <v>12.424291060135047</v>
      </c>
      <c r="G8" s="165">
        <f>Triple_Statistics!G13</f>
        <v>-8.8486929756288912E-2</v>
      </c>
      <c r="H8" s="413">
        <f t="shared" si="12"/>
        <v>-88.486929756288916</v>
      </c>
      <c r="I8" s="413">
        <f t="shared" si="14"/>
        <v>1.033947533353327</v>
      </c>
      <c r="J8" s="413">
        <f t="shared" si="13"/>
        <v>0.52549392507007009</v>
      </c>
      <c r="K8" s="413">
        <f t="shared" si="0"/>
        <v>1.0176978908289336</v>
      </c>
      <c r="L8" s="413">
        <f t="shared" si="1"/>
        <v>-9.9125824667464713</v>
      </c>
      <c r="M8" s="413">
        <f t="shared" si="2"/>
        <v>-5.1818912236352617</v>
      </c>
      <c r="N8" s="413">
        <f t="shared" si="3"/>
        <v>-9.9620392131245481</v>
      </c>
      <c r="O8" s="413">
        <f t="shared" si="3"/>
        <v>-5.195363784345207</v>
      </c>
      <c r="P8" s="413">
        <f t="shared" si="4"/>
        <v>64.592920184554544</v>
      </c>
    </row>
    <row r="9" spans="1:16" ht="16" x14ac:dyDescent="0.2">
      <c r="A9">
        <v>2.8117038461538462</v>
      </c>
      <c r="B9" s="413">
        <v>8170</v>
      </c>
      <c r="C9" s="420">
        <f>Clumped_Statistics!N14</f>
        <v>12.451038840750167</v>
      </c>
      <c r="D9" s="413">
        <f>Triple_Statistics!D14</f>
        <v>-5.4613286885794157</v>
      </c>
      <c r="E9" s="413">
        <f t="shared" si="11"/>
        <v>25.279861641656595</v>
      </c>
      <c r="F9" s="413">
        <f>Triple_Statistics!J14</f>
        <v>13.258105967020319</v>
      </c>
      <c r="G9" s="165">
        <f>Triple_Statistics!G14</f>
        <v>-8.9660979774365046E-2</v>
      </c>
      <c r="H9" s="413">
        <f t="shared" si="12"/>
        <v>-89.660979774365046</v>
      </c>
      <c r="I9" s="413">
        <f t="shared" si="14"/>
        <v>1.0322824732242173</v>
      </c>
      <c r="J9" s="413">
        <f t="shared" si="13"/>
        <v>0.52563307092424461</v>
      </c>
      <c r="K9" s="413">
        <f t="shared" si="0"/>
        <v>1.0168408292430324</v>
      </c>
      <c r="L9" s="413">
        <f t="shared" si="1"/>
        <v>-6.783619565571712</v>
      </c>
      <c r="M9" s="413">
        <f t="shared" si="2"/>
        <v>-3.5233865251842644</v>
      </c>
      <c r="N9" s="413">
        <f t="shared" si="3"/>
        <v>-6.8067329001271988</v>
      </c>
      <c r="O9" s="413">
        <f t="shared" si="3"/>
        <v>-3.5296082701946259</v>
      </c>
      <c r="P9" s="413">
        <f t="shared" si="4"/>
        <v>64.346701072535154</v>
      </c>
    </row>
    <row r="10" spans="1:16" ht="16" x14ac:dyDescent="0.2">
      <c r="A10">
        <v>2.7518596153846153</v>
      </c>
      <c r="B10" s="413">
        <v>8515</v>
      </c>
      <c r="C10" s="420">
        <f>Clumped_Statistics!N16</f>
        <v>-7.1618335991728657</v>
      </c>
      <c r="D10" s="413">
        <f>Triple_Statistics!D15</f>
        <v>-6.1913121643426265</v>
      </c>
      <c r="E10" s="413">
        <f t="shared" si="11"/>
        <v>24.527314376657543</v>
      </c>
      <c r="F10" s="413">
        <f>Triple_Statistics!J15</f>
        <v>12.867455961013452</v>
      </c>
      <c r="G10" s="165">
        <f>Triple_Statistics!G15</f>
        <v>-8.2966029861732515E-2</v>
      </c>
      <c r="H10" s="413">
        <f t="shared" si="12"/>
        <v>-82.966029861732522</v>
      </c>
      <c r="I10" s="413">
        <f t="shared" si="14"/>
        <v>1.0365822554081547</v>
      </c>
      <c r="J10" s="413">
        <f t="shared" si="13"/>
        <v>0.52527420360909827</v>
      </c>
      <c r="K10" s="413">
        <f t="shared" si="0"/>
        <v>1.0190517941468402</v>
      </c>
      <c r="L10" s="413">
        <f t="shared" si="1"/>
        <v>-11.629507420759865</v>
      </c>
      <c r="M10" s="413">
        <f t="shared" si="2"/>
        <v>-6.0687182156470953</v>
      </c>
      <c r="N10" s="413">
        <f t="shared" si="3"/>
        <v>-11.697659037271094</v>
      </c>
      <c r="O10" s="413">
        <f t="shared" si="3"/>
        <v>-6.0872077290894699</v>
      </c>
      <c r="P10" s="413">
        <f t="shared" si="4"/>
        <v>89.156242589668366</v>
      </c>
    </row>
    <row r="11" spans="1:16" ht="16" x14ac:dyDescent="0.2">
      <c r="A11" s="572" t="s">
        <v>670</v>
      </c>
      <c r="B11" s="413"/>
      <c r="C11" s="413">
        <v>30</v>
      </c>
      <c r="D11" s="413"/>
      <c r="E11" s="421">
        <v>21.116628263222765</v>
      </c>
      <c r="F11" s="415">
        <v>10.999117727099701</v>
      </c>
      <c r="G11" s="165">
        <v>-9.4423026303861193E-2</v>
      </c>
      <c r="H11" s="413">
        <f t="shared" si="12"/>
        <v>-94.423026303861192</v>
      </c>
      <c r="I11" s="413">
        <f>EXP((16.1*1000/(273.15+C11)-24.6)/1000)</f>
        <v>1.0289192936370106</v>
      </c>
      <c r="J11" s="413">
        <f t="shared" si="13"/>
        <v>0.52591481114959593</v>
      </c>
      <c r="K11" s="413">
        <f>I11^J11</f>
        <v>1.0151062805237878</v>
      </c>
      <c r="L11" s="413">
        <f>(1000+E11)/I11-1000</f>
        <v>-7.5833599603396351</v>
      </c>
      <c r="M11" s="413">
        <f>(1000+F11)/K11-1000</f>
        <v>-4.0460421489746068</v>
      </c>
      <c r="N11" s="413">
        <f>1000*LN(L11/1000+1)</f>
        <v>-7.6122598326126312</v>
      </c>
      <c r="O11" s="413">
        <f>1000*LN(M11/1000+1)</f>
        <v>-4.0542495232456082</v>
      </c>
      <c r="P11" s="413">
        <f>(O11-0.528*N11)*1000</f>
        <v>-34.976331626138446</v>
      </c>
    </row>
    <row r="12" spans="1:16" x14ac:dyDescent="0.2">
      <c r="I12" s="164"/>
    </row>
    <row r="14" spans="1:16" ht="16" x14ac:dyDescent="0.2">
      <c r="A14" s="165" t="s">
        <v>396</v>
      </c>
      <c r="B14" t="s">
        <v>632</v>
      </c>
      <c r="C14" s="165" t="s">
        <v>397</v>
      </c>
      <c r="D14" s="414" t="s">
        <v>398</v>
      </c>
      <c r="E14" s="413" t="s">
        <v>399</v>
      </c>
      <c r="F14" s="413" t="s">
        <v>403</v>
      </c>
      <c r="G14" s="413" t="s">
        <v>404</v>
      </c>
      <c r="H14" s="415" t="s">
        <v>406</v>
      </c>
    </row>
    <row r="15" spans="1:16" ht="16" x14ac:dyDescent="0.2">
      <c r="A15" s="528">
        <v>1530</v>
      </c>
      <c r="B15" s="516">
        <v>3.911815625</v>
      </c>
      <c r="C15" s="535" cm="1">
        <f t="array" ref="C15:C29">Clumped_Statistics!N2:N16</f>
        <v>13.032480950069063</v>
      </c>
      <c r="D15" s="165" cm="1">
        <f t="array" ref="D15:D29">Clumped_Statistics!E2:E16</f>
        <v>-6.1861320065081635</v>
      </c>
      <c r="E15" s="165">
        <f>D15*1.03091+30.91</f>
        <v>24.53265465317067</v>
      </c>
      <c r="F15" s="165">
        <f>EXP((16.1*1000/(273.15+C15)-24.6)/1000)</f>
        <v>1.032164249887269</v>
      </c>
      <c r="G15" s="165">
        <f>-1.39/(273.15+C15)+0.5305</f>
        <v>0.52564295915184789</v>
      </c>
      <c r="H15" s="165">
        <f>(1000+E15)/F15-1000</f>
        <v>-7.393779851347972</v>
      </c>
    </row>
    <row r="16" spans="1:16" ht="16" x14ac:dyDescent="0.2">
      <c r="A16" s="528">
        <v>1650</v>
      </c>
      <c r="B16" s="511">
        <v>3.8</v>
      </c>
      <c r="C16" s="535">
        <v>11.645939936168702</v>
      </c>
      <c r="D16" s="165">
        <v>-4.8736622050000005</v>
      </c>
      <c r="E16" s="165">
        <f t="shared" ref="E16:E28" si="15">D16*1.03091+30.91</f>
        <v>25.885692896243448</v>
      </c>
      <c r="F16" s="165">
        <f t="shared" ref="F16:F28" si="16">EXP((16.1*1000/(273.15+C16)-24.6)/1000)</f>
        <v>1.0324469917064123</v>
      </c>
      <c r="G16" s="165">
        <f t="shared" ref="G16:G28" si="17">-1.39/(273.15+C16)+0.5305</f>
        <v>0.52561931244416071</v>
      </c>
      <c r="H16" s="165">
        <f t="shared" ref="H16:H28" si="18">(1000+E16)/F16-1000</f>
        <v>-6.3550950924119434</v>
      </c>
    </row>
    <row r="17" spans="1:30" ht="16" x14ac:dyDescent="0.2">
      <c r="A17" s="528">
        <v>2210</v>
      </c>
      <c r="B17" s="516">
        <v>3.6606406250000001</v>
      </c>
      <c r="C17" s="535">
        <v>24.402488205498134</v>
      </c>
      <c r="D17" s="165">
        <v>-6.0748457185243465</v>
      </c>
      <c r="E17" s="165">
        <f t="shared" si="15"/>
        <v>24.647380800316064</v>
      </c>
      <c r="F17" s="165">
        <f t="shared" si="16"/>
        <v>1.0299477787521354</v>
      </c>
      <c r="G17" s="165">
        <f t="shared" si="17"/>
        <v>0.52582855527983341</v>
      </c>
      <c r="H17" s="165">
        <f t="shared" si="18"/>
        <v>-5.1462783465013899</v>
      </c>
    </row>
    <row r="18" spans="1:30" ht="16" x14ac:dyDescent="0.2">
      <c r="A18" s="528">
        <v>2520</v>
      </c>
      <c r="B18" s="516">
        <v>3.5770410367170626</v>
      </c>
      <c r="C18" s="535">
        <v>18.409897824268256</v>
      </c>
      <c r="D18" s="165">
        <v>-5.464213667782035</v>
      </c>
      <c r="E18" s="165">
        <f t="shared" si="15"/>
        <v>25.276887487746823</v>
      </c>
      <c r="F18" s="165">
        <f t="shared" si="16"/>
        <v>1.0310938346838265</v>
      </c>
      <c r="G18" s="165">
        <f t="shared" si="17"/>
        <v>0.52573254051612472</v>
      </c>
      <c r="H18" s="165">
        <f t="shared" si="18"/>
        <v>-5.6415303829874119</v>
      </c>
    </row>
    <row r="19" spans="1:30" ht="16" x14ac:dyDescent="0.2">
      <c r="A19" s="528">
        <v>3670</v>
      </c>
      <c r="B19" s="511">
        <v>3.45</v>
      </c>
      <c r="C19" s="535">
        <v>14.14053938447436</v>
      </c>
      <c r="D19" s="165">
        <v>-6.5821954375700464</v>
      </c>
      <c r="E19" s="165">
        <f t="shared" si="15"/>
        <v>24.124348901454663</v>
      </c>
      <c r="F19" s="165">
        <f t="shared" si="16"/>
        <v>1.0319403128813007</v>
      </c>
      <c r="G19" s="165">
        <f t="shared" si="17"/>
        <v>0.52566169240038985</v>
      </c>
      <c r="H19" s="165">
        <f t="shared" si="18"/>
        <v>-7.5740465628510947</v>
      </c>
    </row>
    <row r="20" spans="1:30" ht="16" x14ac:dyDescent="0.2">
      <c r="A20" s="528">
        <v>5020</v>
      </c>
      <c r="B20" s="516">
        <v>3.2957739130434782</v>
      </c>
      <c r="C20" s="535">
        <v>20.769942498551263</v>
      </c>
      <c r="D20" s="165">
        <v>-6.5577331030000003</v>
      </c>
      <c r="E20" s="165">
        <f t="shared" si="15"/>
        <v>24.149567366786272</v>
      </c>
      <c r="F20" s="165">
        <f t="shared" si="16"/>
        <v>1.0306367557890188</v>
      </c>
      <c r="G20" s="165">
        <f t="shared" si="17"/>
        <v>0.52577082106717932</v>
      </c>
      <c r="H20" s="165">
        <f t="shared" si="18"/>
        <v>-6.2943499596676702</v>
      </c>
    </row>
    <row r="21" spans="1:30" ht="16" x14ac:dyDescent="0.2">
      <c r="A21" s="528">
        <v>5130</v>
      </c>
      <c r="B21" s="517">
        <v>3.2840086959999999</v>
      </c>
      <c r="C21" s="535">
        <v>13.907555357546158</v>
      </c>
      <c r="D21" s="165">
        <v>-5.8044245019999998</v>
      </c>
      <c r="E21" s="165">
        <f t="shared" si="15"/>
        <v>24.92616073664318</v>
      </c>
      <c r="F21" s="165">
        <f t="shared" si="16"/>
        <v>1.0319872510533081</v>
      </c>
      <c r="G21" s="165">
        <f t="shared" si="17"/>
        <v>0.52565776549316501</v>
      </c>
      <c r="H21" s="165">
        <f t="shared" si="18"/>
        <v>-6.8422263060498381</v>
      </c>
    </row>
    <row r="22" spans="1:30" ht="16" x14ac:dyDescent="0.2">
      <c r="A22" s="528">
        <v>5365</v>
      </c>
      <c r="B22" s="516">
        <v>3.2588739130434781</v>
      </c>
      <c r="C22" s="535">
        <v>16.813100170540338</v>
      </c>
      <c r="D22" s="165">
        <v>-5.7468283499999995</v>
      </c>
      <c r="E22" s="165">
        <f t="shared" si="15"/>
        <v>24.985537185701499</v>
      </c>
      <c r="F22" s="165">
        <f t="shared" si="16"/>
        <v>1.0314074299242411</v>
      </c>
      <c r="G22" s="165">
        <f t="shared" si="17"/>
        <v>0.52570628659583762</v>
      </c>
      <c r="H22" s="165">
        <f t="shared" si="18"/>
        <v>-6.2263394195358615</v>
      </c>
    </row>
    <row r="23" spans="1:30" ht="16" x14ac:dyDescent="0.2">
      <c r="A23" s="528">
        <v>6690</v>
      </c>
      <c r="B23" s="516">
        <v>3.11913793103448</v>
      </c>
      <c r="C23" s="535">
        <v>3.2939171658659916</v>
      </c>
      <c r="D23" s="165">
        <v>-5.646577612333334</v>
      </c>
      <c r="E23" s="165">
        <f t="shared" si="15"/>
        <v>25.088886673669442</v>
      </c>
      <c r="F23" s="165">
        <f t="shared" si="16"/>
        <v>1.0342118726253429</v>
      </c>
      <c r="G23" s="165">
        <f t="shared" si="17"/>
        <v>0.52547185536129559</v>
      </c>
      <c r="H23" s="165">
        <f t="shared" si="18"/>
        <v>-8.8211963072079698</v>
      </c>
    </row>
    <row r="24" spans="1:30" ht="16" x14ac:dyDescent="0.2">
      <c r="A24" s="528">
        <v>7170</v>
      </c>
      <c r="B24" s="516">
        <v>2.9851653846153847</v>
      </c>
      <c r="C24" s="535">
        <v>13.872664930944268</v>
      </c>
      <c r="D24" s="165">
        <v>-5.2807279245000007</v>
      </c>
      <c r="E24" s="165">
        <f t="shared" si="15"/>
        <v>25.466044775353705</v>
      </c>
      <c r="F24" s="165">
        <f t="shared" si="16"/>
        <v>1.0319942870041061</v>
      </c>
      <c r="G24" s="165">
        <f t="shared" si="17"/>
        <v>0.52565717687195734</v>
      </c>
      <c r="H24" s="165">
        <f t="shared" si="18"/>
        <v>-6.3258511320871094</v>
      </c>
    </row>
    <row r="25" spans="1:30" ht="16" x14ac:dyDescent="0.2">
      <c r="A25" s="528">
        <v>7770</v>
      </c>
      <c r="B25" s="516">
        <v>2.8810884615384618</v>
      </c>
      <c r="C25" s="535">
        <v>17.629639758380506</v>
      </c>
      <c r="D25" s="165">
        <v>-5.2672073680000002</v>
      </c>
      <c r="E25" s="165">
        <f t="shared" si="15"/>
        <v>25.479983252255121</v>
      </c>
      <c r="F25" s="165">
        <f t="shared" si="16"/>
        <v>1.0312466274260534</v>
      </c>
      <c r="G25" s="165">
        <f t="shared" si="17"/>
        <v>0.52571974784357323</v>
      </c>
      <c r="H25" s="165">
        <f t="shared" si="18"/>
        <v>-5.5919156683125948</v>
      </c>
    </row>
    <row r="26" spans="1:30" ht="16" x14ac:dyDescent="0.2">
      <c r="A26" s="528">
        <v>7810</v>
      </c>
      <c r="B26" s="516">
        <v>2.8741500000000002</v>
      </c>
      <c r="C26" s="535">
        <v>4.5126437789767424</v>
      </c>
      <c r="D26" s="165">
        <v>-5.8593444766666662</v>
      </c>
      <c r="E26" s="165">
        <f t="shared" si="15"/>
        <v>24.869543185559568</v>
      </c>
      <c r="F26" s="165">
        <f t="shared" si="16"/>
        <v>1.033947533353327</v>
      </c>
      <c r="G26" s="165">
        <f t="shared" si="17"/>
        <v>0.52549392507007009</v>
      </c>
      <c r="H26" s="165">
        <f t="shared" si="18"/>
        <v>-8.7799330961458963</v>
      </c>
    </row>
    <row r="27" spans="1:30" ht="16" x14ac:dyDescent="0.2">
      <c r="A27" s="528">
        <v>8170</v>
      </c>
      <c r="B27" s="516">
        <v>2.8117038461538462</v>
      </c>
      <c r="C27" s="535">
        <v>12.451038840750167</v>
      </c>
      <c r="D27" s="165">
        <v>-5.6291681433333336</v>
      </c>
      <c r="E27" s="165">
        <f t="shared" si="15"/>
        <v>25.106834269356234</v>
      </c>
      <c r="F27" s="165">
        <f t="shared" si="16"/>
        <v>1.0322824732242173</v>
      </c>
      <c r="G27" s="165">
        <f t="shared" si="17"/>
        <v>0.52563307092424461</v>
      </c>
      <c r="H27" s="165">
        <f t="shared" si="18"/>
        <v>-6.9512358690433302</v>
      </c>
    </row>
    <row r="28" spans="1:30" ht="16" x14ac:dyDescent="0.2">
      <c r="A28" s="528">
        <v>8460</v>
      </c>
      <c r="B28" s="516">
        <v>2.7614000000000001</v>
      </c>
      <c r="C28" s="535">
        <v>4.8612366404932175</v>
      </c>
      <c r="D28" s="165">
        <v>-5.6683036076245497</v>
      </c>
      <c r="E28" s="165">
        <f t="shared" si="15"/>
        <v>25.066489127863775</v>
      </c>
      <c r="F28" s="165">
        <f t="shared" si="16"/>
        <v>1.0338723628816719</v>
      </c>
      <c r="G28" s="165">
        <f t="shared" si="17"/>
        <v>0.52550020208968218</v>
      </c>
      <c r="H28" s="165">
        <f t="shared" si="18"/>
        <v>-8.5173702963330697</v>
      </c>
    </row>
    <row r="29" spans="1:30" x14ac:dyDescent="0.2">
      <c r="A29">
        <v>8515</v>
      </c>
      <c r="B29" s="516">
        <v>2.7518596153846153</v>
      </c>
      <c r="C29">
        <v>-7.1618335991728657</v>
      </c>
      <c r="D29">
        <v>-5.0185485151955653</v>
      </c>
      <c r="E29" s="165">
        <f>D29*1.03091+30.91</f>
        <v>25.736328150199739</v>
      </c>
      <c r="F29" s="165">
        <f>EXP((16.1*1000/(273.15+C29)-24.6)/1000)</f>
        <v>1.0365822554081547</v>
      </c>
      <c r="G29" s="165">
        <f>-1.39/(273.15+C29)+0.5305</f>
        <v>0.52527420360909827</v>
      </c>
      <c r="H29" s="165">
        <f>(1000+E29)/F29-1000</f>
        <v>-10.463161221763698</v>
      </c>
    </row>
    <row r="30" spans="1:30" ht="17" x14ac:dyDescent="0.2">
      <c r="AD30" s="573" t="s">
        <v>671</v>
      </c>
    </row>
    <row r="31" spans="1:30" ht="17" x14ac:dyDescent="0.2">
      <c r="AD31" s="573" t="s">
        <v>672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A4371-0134-4095-BF09-7D9734DDDA12}">
  <sheetPr codeName="Sheet1"/>
  <dimension ref="A1:AI556"/>
  <sheetViews>
    <sheetView topLeftCell="A48" zoomScale="111" zoomScaleNormal="90" workbookViewId="0">
      <selection activeCell="U275" sqref="U275"/>
    </sheetView>
  </sheetViews>
  <sheetFormatPr baseColWidth="10" defaultColWidth="9.1640625" defaultRowHeight="15" customHeight="1" x14ac:dyDescent="0.2"/>
  <cols>
    <col min="1" max="1" width="10.5" style="46" bestFit="1" customWidth="1"/>
    <col min="2" max="2" width="29.1640625" style="52" customWidth="1"/>
    <col min="3" max="3" width="22.1640625" style="52" customWidth="1"/>
    <col min="4" max="4" width="15.1640625" style="52" customWidth="1"/>
    <col min="5" max="5" width="21.6640625" style="74" customWidth="1"/>
    <col min="6" max="6" width="20.83203125" style="52" customWidth="1"/>
    <col min="7" max="7" width="11.6640625" style="52" customWidth="1"/>
    <col min="8" max="9" width="17.1640625" style="76" customWidth="1"/>
    <col min="10" max="10" width="18.1640625" style="76" customWidth="1"/>
    <col min="11" max="11" width="14.6640625" style="76" customWidth="1"/>
    <col min="12" max="12" width="17.33203125" style="76" customWidth="1"/>
    <col min="13" max="13" width="18.83203125" style="77" customWidth="1"/>
    <col min="14" max="14" width="23.5" style="77" customWidth="1"/>
    <col min="15" max="15" width="19.83203125" style="52" customWidth="1"/>
    <col min="16" max="16" width="20.6640625" style="52" customWidth="1"/>
    <col min="17" max="17" width="20.33203125" style="52" customWidth="1"/>
    <col min="18" max="18" width="20.5" style="78" customWidth="1"/>
    <col min="19" max="19" width="16" style="52" customWidth="1"/>
    <col min="20" max="20" width="22.6640625" style="52" customWidth="1"/>
    <col min="21" max="21" width="18" style="78" customWidth="1"/>
    <col min="22" max="22" width="21.5" style="52" customWidth="1"/>
    <col min="23" max="23" width="13.33203125" style="52" customWidth="1"/>
    <col min="24" max="24" width="10.83203125" style="52" customWidth="1"/>
    <col min="25" max="25" width="10.5" style="52" customWidth="1"/>
    <col min="26" max="26" width="12.33203125" style="52" customWidth="1"/>
    <col min="27" max="27" width="15.33203125" style="52" customWidth="1"/>
    <col min="28" max="28" width="19.5" style="52" customWidth="1"/>
    <col min="29" max="29" width="9.1640625" style="52"/>
    <col min="30" max="30" width="128.5" style="52" customWidth="1"/>
    <col min="31" max="16384" width="9.1640625" style="52"/>
  </cols>
  <sheetData>
    <row r="1" spans="1:35" ht="14" x14ac:dyDescent="0.2">
      <c r="A1" s="62"/>
      <c r="B1" s="47" t="s">
        <v>0</v>
      </c>
      <c r="C1" s="47" t="s">
        <v>1</v>
      </c>
      <c r="D1" s="47"/>
      <c r="E1" s="48" t="s">
        <v>2</v>
      </c>
      <c r="F1" s="47"/>
      <c r="G1" s="47"/>
      <c r="H1" s="49"/>
      <c r="I1" s="49"/>
      <c r="J1" s="49"/>
      <c r="K1" s="49"/>
      <c r="L1" s="49"/>
      <c r="M1" s="50"/>
      <c r="N1" s="50"/>
      <c r="O1" s="47"/>
      <c r="P1" s="47"/>
      <c r="Q1" s="47"/>
      <c r="R1" s="51"/>
      <c r="S1" s="47"/>
      <c r="T1" s="47"/>
      <c r="U1" s="51"/>
      <c r="V1" s="47"/>
      <c r="W1" s="47"/>
      <c r="X1" s="47"/>
      <c r="Y1" s="47"/>
      <c r="Z1" s="47"/>
      <c r="AA1" s="47"/>
      <c r="AB1" s="47"/>
      <c r="AC1" s="47"/>
      <c r="AD1" s="47"/>
      <c r="AE1" s="47"/>
      <c r="AF1" s="47"/>
      <c r="AG1" s="47"/>
      <c r="AH1" s="47"/>
      <c r="AI1" s="47"/>
    </row>
    <row r="2" spans="1:35" ht="14" x14ac:dyDescent="0.2">
      <c r="A2" s="62"/>
      <c r="B2" s="47" t="s">
        <v>3</v>
      </c>
      <c r="C2" s="47">
        <v>-2.2000000000000002</v>
      </c>
      <c r="D2" s="47"/>
      <c r="E2" s="48">
        <v>-0.10199999999999999</v>
      </c>
      <c r="F2" s="47"/>
      <c r="G2" s="47"/>
      <c r="H2" s="49"/>
      <c r="I2" s="49"/>
      <c r="J2" s="49"/>
      <c r="K2" s="49"/>
      <c r="L2" s="49"/>
      <c r="M2" s="50"/>
      <c r="N2" s="50"/>
      <c r="O2" s="47"/>
      <c r="P2" s="47"/>
      <c r="Q2" s="47"/>
      <c r="R2" s="51"/>
      <c r="S2" s="47"/>
      <c r="T2" s="47"/>
      <c r="U2" s="51"/>
      <c r="V2" s="47"/>
      <c r="W2" s="47"/>
      <c r="X2" s="47"/>
      <c r="Y2" s="47"/>
      <c r="Z2" s="47"/>
      <c r="AA2" s="47"/>
      <c r="AB2" s="47"/>
      <c r="AC2" s="47"/>
      <c r="AD2" s="47"/>
      <c r="AE2" s="47"/>
      <c r="AF2" s="47"/>
      <c r="AG2" s="47"/>
      <c r="AH2" s="47"/>
      <c r="AI2" s="47"/>
    </row>
    <row r="3" spans="1:35" ht="14" x14ac:dyDescent="0.2">
      <c r="A3" s="62"/>
      <c r="B3" s="47" t="s">
        <v>4</v>
      </c>
      <c r="C3" s="47">
        <v>-1.75</v>
      </c>
      <c r="D3" s="47"/>
      <c r="E3" s="48">
        <v>-0.1</v>
      </c>
      <c r="F3" s="47"/>
      <c r="G3" s="47"/>
      <c r="H3" s="49"/>
      <c r="I3" s="49"/>
      <c r="J3" s="49"/>
      <c r="K3" s="49"/>
      <c r="L3" s="49"/>
      <c r="M3" s="50"/>
      <c r="N3" s="50"/>
      <c r="O3" s="47"/>
      <c r="P3" s="47"/>
      <c r="Q3" s="47"/>
      <c r="R3" s="51"/>
      <c r="S3" s="47"/>
      <c r="T3" s="47"/>
      <c r="U3" s="51"/>
      <c r="V3" s="47"/>
      <c r="W3" s="47"/>
      <c r="X3" s="47"/>
      <c r="Y3" s="47"/>
      <c r="Z3" s="47"/>
      <c r="AA3" s="47"/>
      <c r="AB3" s="47"/>
      <c r="AC3" s="47"/>
      <c r="AD3" s="47"/>
      <c r="AE3" s="47"/>
      <c r="AF3" s="47"/>
      <c r="AG3" s="47"/>
      <c r="AH3" s="47"/>
      <c r="AI3" s="47"/>
    </row>
    <row r="4" spans="1:35" ht="15" customHeight="1" x14ac:dyDescent="0.2">
      <c r="A4" s="62"/>
      <c r="B4" s="47"/>
      <c r="C4" s="47"/>
      <c r="D4" s="47"/>
      <c r="E4" s="48"/>
      <c r="F4" s="47"/>
      <c r="G4" s="47"/>
      <c r="H4" s="49"/>
      <c r="I4" s="49"/>
      <c r="J4" s="49"/>
      <c r="K4" s="49"/>
      <c r="L4" s="49"/>
      <c r="M4" s="50"/>
      <c r="N4" s="50"/>
      <c r="O4" s="50"/>
      <c r="P4" s="47"/>
      <c r="Q4" s="47"/>
      <c r="R4" s="51"/>
      <c r="S4" s="47"/>
      <c r="T4" s="47"/>
      <c r="U4" s="51"/>
      <c r="V4" s="47"/>
      <c r="W4" s="47"/>
      <c r="X4" s="47"/>
      <c r="Y4" s="47"/>
      <c r="Z4" s="47"/>
      <c r="AA4" s="47"/>
      <c r="AB4" s="47"/>
      <c r="AC4" s="47"/>
      <c r="AD4" s="47"/>
      <c r="AE4" s="47"/>
      <c r="AF4" s="47"/>
      <c r="AG4" s="47"/>
      <c r="AH4" s="47"/>
      <c r="AI4" s="47"/>
    </row>
    <row r="5" spans="1:35" ht="14" x14ac:dyDescent="0.2">
      <c r="A5" s="62"/>
      <c r="B5" s="47"/>
      <c r="C5" s="47"/>
      <c r="D5" s="47"/>
      <c r="E5" s="48"/>
      <c r="F5" s="47"/>
      <c r="G5" s="47"/>
      <c r="H5" s="49"/>
      <c r="I5" s="49"/>
      <c r="J5" s="49"/>
      <c r="K5" s="49"/>
      <c r="L5" s="49"/>
      <c r="M5" s="50"/>
      <c r="N5" s="50"/>
      <c r="O5" s="47"/>
      <c r="P5" s="47"/>
      <c r="Q5" s="47"/>
      <c r="R5" s="51"/>
      <c r="S5" s="47"/>
      <c r="T5" s="47"/>
      <c r="U5" s="51"/>
      <c r="V5" s="47"/>
      <c r="W5" s="47"/>
      <c r="X5" s="47"/>
      <c r="Y5" s="47"/>
      <c r="Z5" s="47"/>
      <c r="AA5" s="47"/>
      <c r="AB5" s="47"/>
      <c r="AC5" s="47"/>
      <c r="AD5" s="47"/>
      <c r="AE5" s="47"/>
      <c r="AF5" s="47"/>
      <c r="AG5" s="47"/>
      <c r="AH5" s="47"/>
      <c r="AI5" s="47"/>
    </row>
    <row r="6" spans="1:35" thickBot="1" x14ac:dyDescent="0.25">
      <c r="A6" s="62"/>
      <c r="B6" s="53" t="s">
        <v>5</v>
      </c>
      <c r="C6" s="53" t="s">
        <v>6</v>
      </c>
      <c r="D6" s="53" t="s">
        <v>7</v>
      </c>
      <c r="E6" s="54" t="s">
        <v>8</v>
      </c>
      <c r="F6" s="53" t="s">
        <v>9</v>
      </c>
      <c r="G6" s="53" t="s">
        <v>10</v>
      </c>
      <c r="H6" s="55" t="s">
        <v>11</v>
      </c>
      <c r="I6" s="55"/>
      <c r="J6" s="55" t="s">
        <v>12</v>
      </c>
      <c r="K6" s="55" t="s">
        <v>13</v>
      </c>
      <c r="L6" s="55" t="s">
        <v>14</v>
      </c>
      <c r="M6" s="56" t="s">
        <v>15</v>
      </c>
      <c r="N6" s="56" t="s">
        <v>2</v>
      </c>
      <c r="O6" s="57" t="s">
        <v>16</v>
      </c>
      <c r="P6" s="57" t="s">
        <v>17</v>
      </c>
      <c r="Q6" s="58" t="s">
        <v>18</v>
      </c>
      <c r="R6" s="59" t="s">
        <v>19</v>
      </c>
      <c r="S6" s="53" t="s">
        <v>20</v>
      </c>
      <c r="T6" s="58" t="s">
        <v>21</v>
      </c>
      <c r="U6" s="59" t="s">
        <v>22</v>
      </c>
      <c r="V6" s="53" t="s">
        <v>23</v>
      </c>
      <c r="W6" s="1" t="s">
        <v>24</v>
      </c>
      <c r="X6" s="1" t="s">
        <v>25</v>
      </c>
      <c r="Y6" s="60" t="s">
        <v>26</v>
      </c>
      <c r="Z6" s="60" t="s">
        <v>27</v>
      </c>
      <c r="AA6" s="61" t="s">
        <v>28</v>
      </c>
      <c r="AB6" s="1" t="s">
        <v>29</v>
      </c>
      <c r="AC6" s="47"/>
      <c r="AD6" s="47" t="s">
        <v>30</v>
      </c>
      <c r="AE6" s="47"/>
      <c r="AF6" s="47"/>
      <c r="AG6" s="47"/>
      <c r="AH6" s="47"/>
      <c r="AI6" s="47"/>
    </row>
    <row r="7" spans="1:35" ht="14" x14ac:dyDescent="0.2">
      <c r="A7" s="62"/>
      <c r="B7" s="47" t="s">
        <v>31</v>
      </c>
      <c r="C7" s="62">
        <v>45161</v>
      </c>
      <c r="D7" s="62" t="s">
        <v>32</v>
      </c>
      <c r="E7" s="48">
        <v>0.61299999999999999</v>
      </c>
      <c r="F7" s="47">
        <v>542</v>
      </c>
      <c r="G7" s="47"/>
      <c r="H7" s="49">
        <v>2</v>
      </c>
      <c r="I7" s="49"/>
      <c r="J7" s="49">
        <v>451.34</v>
      </c>
      <c r="K7" s="49">
        <v>455.52</v>
      </c>
      <c r="L7" s="49">
        <f t="shared" ref="L7:L14" si="0">J7-K7</f>
        <v>-4.1800000000000068</v>
      </c>
      <c r="M7" s="50">
        <f>1.03092*$C$2+30.92</f>
        <v>28.651976000000001</v>
      </c>
      <c r="N7" s="50">
        <f>$E$2</f>
        <v>-0.10199999999999999</v>
      </c>
      <c r="O7" s="50">
        <f t="shared" ref="O7:O9" si="1">1000*LN(M7/1000+1)</f>
        <v>28.249183900628257</v>
      </c>
      <c r="P7" s="50">
        <f>N7+0.528*O7</f>
        <v>14.813569099531721</v>
      </c>
      <c r="Q7" s="63">
        <v>38.551299999999998</v>
      </c>
      <c r="R7" s="64">
        <f>(1000+Q7)/(1000+M7)</f>
        <v>1.0096235891545111</v>
      </c>
      <c r="S7" s="50">
        <f>(EXP(P7/1000)-1)*1000</f>
        <v>14.923833812788168</v>
      </c>
      <c r="T7" s="63">
        <v>20.023399999999999</v>
      </c>
      <c r="U7" s="64">
        <f>(1000+T7)/(1000+S7)</f>
        <v>1.0050245801875144</v>
      </c>
      <c r="V7" s="65">
        <f>1000*LN(T7/1000+1)-0.528*(1000*LN(Q7/1000+1))</f>
        <v>-0.14696174866756806</v>
      </c>
      <c r="W7" s="50">
        <f>((1000+Q7)/$R$22)-1000</f>
        <v>28.431730671437208</v>
      </c>
      <c r="X7" s="50">
        <f>((1000+T7)/$U$22)-1000</f>
        <v>14.853865223761886</v>
      </c>
      <c r="Y7" s="50">
        <f>1000*(LN(X7/1000+1))</f>
        <v>14.74462697933099</v>
      </c>
      <c r="Z7" s="50">
        <f>1000*(LN(W7/1000+1))</f>
        <v>28.035050339908317</v>
      </c>
      <c r="AA7" s="66">
        <f>Y7-0.528*Z7</f>
        <v>-5.7879600140601895E-2</v>
      </c>
      <c r="AB7" s="50">
        <f>AA7-$AA$22</f>
        <v>4.4119580620520571E-2</v>
      </c>
      <c r="AC7" s="47"/>
      <c r="AD7" s="47"/>
      <c r="AE7" s="47"/>
      <c r="AF7" s="47"/>
      <c r="AG7" s="47"/>
      <c r="AH7" s="47"/>
      <c r="AI7" s="47"/>
    </row>
    <row r="8" spans="1:35" ht="14" x14ac:dyDescent="0.2">
      <c r="A8" s="62">
        <f t="shared" ref="A8:A13" si="2">C8+G8</f>
        <v>45234.291666666664</v>
      </c>
      <c r="B8" s="47" t="s">
        <v>33</v>
      </c>
      <c r="C8" s="62">
        <v>45234</v>
      </c>
      <c r="D8" s="62" t="s">
        <v>34</v>
      </c>
      <c r="E8" s="48">
        <v>0.59399999999999997</v>
      </c>
      <c r="F8" s="47">
        <v>520</v>
      </c>
      <c r="G8" s="67">
        <v>0.29166666666666669</v>
      </c>
      <c r="H8" s="49">
        <v>10.75</v>
      </c>
      <c r="I8" s="49"/>
      <c r="J8" s="49">
        <v>463.57</v>
      </c>
      <c r="K8" s="49">
        <v>456.47</v>
      </c>
      <c r="L8" s="49">
        <f t="shared" si="0"/>
        <v>7.0999999999999659</v>
      </c>
      <c r="M8" s="50">
        <f t="shared" ref="M8:M19" si="3">1.03092*$C$2+30.92</f>
        <v>28.651976000000001</v>
      </c>
      <c r="N8" s="50">
        <f t="shared" ref="N8:N19" si="4">$E$2</f>
        <v>-0.10199999999999999</v>
      </c>
      <c r="O8" s="50">
        <f t="shared" si="1"/>
        <v>28.249183900628257</v>
      </c>
      <c r="P8" s="50">
        <f t="shared" ref="P8:P9" si="5">N8+0.528*O8</f>
        <v>14.813569099531721</v>
      </c>
      <c r="Q8" s="63">
        <v>38.818800000000003</v>
      </c>
      <c r="R8" s="64">
        <f>(1000+Q8)/(1000+M8)</f>
        <v>1.009883638234512</v>
      </c>
      <c r="S8" s="50">
        <f t="shared" ref="S8:S14" si="6">(EXP(P8/1000)-1)*1000</f>
        <v>14.923833812788168</v>
      </c>
      <c r="T8" s="63">
        <v>20.069299999999998</v>
      </c>
      <c r="U8" s="64">
        <f>(1000+T8)/(1000+S8)</f>
        <v>1.0050698052561065</v>
      </c>
      <c r="V8" s="65">
        <f>1000*LN(T8/1000+1)-0.528*(1000*LN(Q8/1000+1))</f>
        <v>-0.23794341571314348</v>
      </c>
      <c r="W8" s="50">
        <f>((1000+Q8)/$R$22)-1000</f>
        <v>28.696624170635914</v>
      </c>
      <c r="X8" s="50">
        <f>((1000+T8)/$U$22)-1000</f>
        <v>14.899532600033581</v>
      </c>
      <c r="Y8" s="50">
        <f>1000*(LN(X8/1000+1))</f>
        <v>14.789624934578478</v>
      </c>
      <c r="Z8" s="50">
        <f>1000*(LN(W8/1000+1))</f>
        <v>28.292587503342244</v>
      </c>
      <c r="AA8" s="66">
        <f>Y8-0.528*Z8</f>
        <v>-0.14886126718622705</v>
      </c>
      <c r="AB8" s="50">
        <f>AA8-$AA$22</f>
        <v>-4.6862086425104588E-2</v>
      </c>
      <c r="AC8" s="47"/>
      <c r="AD8" s="47" t="s">
        <v>35</v>
      </c>
      <c r="AE8" s="47"/>
      <c r="AF8" s="47">
        <f t="shared" ref="AF8:AF19" si="7">F8/E8</f>
        <v>875.42087542087552</v>
      </c>
      <c r="AG8" s="47"/>
      <c r="AH8" s="47"/>
      <c r="AI8" s="47"/>
    </row>
    <row r="9" spans="1:35" ht="14" x14ac:dyDescent="0.2">
      <c r="A9" s="62">
        <f t="shared" si="2"/>
        <v>45234.354166666664</v>
      </c>
      <c r="B9" s="47" t="s">
        <v>36</v>
      </c>
      <c r="C9" s="62">
        <v>45234</v>
      </c>
      <c r="D9" s="62" t="s">
        <v>34</v>
      </c>
      <c r="E9" s="48">
        <v>0.59599999999999997</v>
      </c>
      <c r="F9" s="47">
        <v>539</v>
      </c>
      <c r="G9" s="67">
        <v>0.35416666666666669</v>
      </c>
      <c r="H9" s="49">
        <v>12.25</v>
      </c>
      <c r="I9" s="49"/>
      <c r="J9" s="49">
        <v>459.84</v>
      </c>
      <c r="K9" s="49">
        <v>455.95</v>
      </c>
      <c r="L9" s="49">
        <f t="shared" si="0"/>
        <v>3.8899999999999864</v>
      </c>
      <c r="M9" s="50">
        <f t="shared" si="3"/>
        <v>28.651976000000001</v>
      </c>
      <c r="N9" s="50">
        <f t="shared" si="4"/>
        <v>-0.10199999999999999</v>
      </c>
      <c r="O9" s="50">
        <f t="shared" si="1"/>
        <v>28.249183900628257</v>
      </c>
      <c r="P9" s="50">
        <f t="shared" si="5"/>
        <v>14.813569099531721</v>
      </c>
      <c r="Q9" s="63">
        <v>38.670099999999998</v>
      </c>
      <c r="R9" s="64">
        <f>(1000+Q9)/(1000+M9)</f>
        <v>1.0097390801104142</v>
      </c>
      <c r="S9" s="50">
        <f t="shared" si="6"/>
        <v>14.923833812788168</v>
      </c>
      <c r="T9" s="63">
        <v>20.0776</v>
      </c>
      <c r="U9" s="64">
        <f>(1000+T9)/(1000+S9)</f>
        <v>1.0050779832096863</v>
      </c>
      <c r="V9" s="65">
        <f>1000*LN(T9/1000+1)-0.528*(1000*LN(Q9/1000+1))</f>
        <v>-0.15422164961306706</v>
      </c>
      <c r="W9" s="50">
        <f>((1000+Q9)/$R$22)-1000</f>
        <v>28.549373092763517</v>
      </c>
      <c r="X9" s="50">
        <f>((1000+T9)/$U$22)-1000</f>
        <v>14.907790535176332</v>
      </c>
      <c r="Y9" s="50">
        <f>1000*(LN(X9/1000+1))</f>
        <v>14.797761603560536</v>
      </c>
      <c r="Z9" s="50">
        <f>1000*(LN(W9/1000+1))</f>
        <v>28.149433910315711</v>
      </c>
      <c r="AA9" s="66">
        <f>Y9-0.528*Z9</f>
        <v>-6.5139501086159513E-2</v>
      </c>
      <c r="AB9" s="50">
        <f>AA9-$AA$22</f>
        <v>3.6859679674962953E-2</v>
      </c>
      <c r="AC9" s="47"/>
      <c r="AD9" s="47" t="s">
        <v>37</v>
      </c>
      <c r="AE9" s="47"/>
      <c r="AF9" s="47">
        <f t="shared" si="7"/>
        <v>904.36241610738261</v>
      </c>
      <c r="AG9" s="47"/>
      <c r="AH9" s="47"/>
      <c r="AI9" s="47"/>
    </row>
    <row r="10" spans="1:35" ht="14" x14ac:dyDescent="0.2">
      <c r="A10" s="62">
        <f t="shared" si="2"/>
        <v>45234</v>
      </c>
      <c r="B10" s="47" t="s">
        <v>38</v>
      </c>
      <c r="C10" s="62">
        <v>45234</v>
      </c>
      <c r="D10" s="62" t="s">
        <v>34</v>
      </c>
      <c r="E10" s="48"/>
      <c r="F10" s="47"/>
      <c r="G10" s="47"/>
      <c r="H10" s="49"/>
      <c r="I10" s="49"/>
      <c r="J10" s="49"/>
      <c r="K10" s="49"/>
      <c r="L10" s="49"/>
      <c r="M10" s="50"/>
      <c r="N10" s="50"/>
      <c r="O10" s="50"/>
      <c r="P10" s="50"/>
      <c r="Q10" s="63"/>
      <c r="R10" s="64"/>
      <c r="S10" s="50"/>
      <c r="T10" s="63"/>
      <c r="U10" s="64"/>
      <c r="V10" s="65"/>
      <c r="W10" s="50"/>
      <c r="X10" s="50"/>
      <c r="Y10" s="50"/>
      <c r="Z10" s="50"/>
      <c r="AA10" s="66"/>
      <c r="AB10" s="50"/>
      <c r="AC10" s="47"/>
      <c r="AD10" s="47" t="s">
        <v>39</v>
      </c>
      <c r="AE10" s="47"/>
      <c r="AF10" s="47"/>
      <c r="AG10" s="47"/>
      <c r="AH10" s="47"/>
      <c r="AI10" s="47"/>
    </row>
    <row r="11" spans="1:35" ht="14" x14ac:dyDescent="0.2">
      <c r="A11" s="62">
        <f t="shared" si="2"/>
        <v>45235.114583333336</v>
      </c>
      <c r="B11" s="47" t="s">
        <v>40</v>
      </c>
      <c r="C11" s="62">
        <v>45235</v>
      </c>
      <c r="D11" s="62" t="s">
        <v>41</v>
      </c>
      <c r="E11" s="48">
        <v>0.56000000000000005</v>
      </c>
      <c r="F11" s="47">
        <v>570</v>
      </c>
      <c r="G11" s="67">
        <v>0.11458333333333333</v>
      </c>
      <c r="H11" s="49">
        <v>3.75</v>
      </c>
      <c r="I11" s="49"/>
      <c r="J11" s="49">
        <v>460.6</v>
      </c>
      <c r="K11" s="49">
        <v>456.14</v>
      </c>
      <c r="L11" s="49">
        <f t="shared" si="0"/>
        <v>4.4600000000000364</v>
      </c>
      <c r="M11" s="50">
        <f t="shared" si="3"/>
        <v>28.651976000000001</v>
      </c>
      <c r="N11" s="50">
        <f t="shared" si="4"/>
        <v>-0.10199999999999999</v>
      </c>
      <c r="O11" s="50">
        <f t="shared" ref="O11" si="8">1000*LN(M11/1000+1)</f>
        <v>28.249183900628257</v>
      </c>
      <c r="P11" s="50">
        <f t="shared" ref="P11" si="9">N11+0.528*O11</f>
        <v>14.813569099531721</v>
      </c>
      <c r="Q11" s="63">
        <v>38.802999999999997</v>
      </c>
      <c r="R11" s="64">
        <f>(1000+Q11)/(1000+M11)</f>
        <v>1.0098682783262352</v>
      </c>
      <c r="S11" s="50">
        <f t="shared" si="6"/>
        <v>14.923833812788168</v>
      </c>
      <c r="T11" s="63">
        <v>20.1677</v>
      </c>
      <c r="U11" s="64">
        <f>(1000+T11)/(1000+S11)</f>
        <v>1.0051667583443302</v>
      </c>
      <c r="V11" s="65">
        <f>1000*LN(T11/1000+1)-0.528*(1000*LN(Q11/1000+1))</f>
        <v>-0.13345331320406473</v>
      </c>
      <c r="W11" s="50">
        <f>((1000+Q11)/$R$22)-1000</f>
        <v>28.680978124701824</v>
      </c>
      <c r="X11" s="50">
        <f>((1000+T11)/$U$22)-1000</f>
        <v>14.997433903413366</v>
      </c>
      <c r="Y11" s="50">
        <f>1000*(LN(X11/1000+1))</f>
        <v>14.88608431657782</v>
      </c>
      <c r="Z11" s="50">
        <f>1000*(LN(W11/1000+1))</f>
        <v>28.277377805407333</v>
      </c>
      <c r="AA11" s="66">
        <f>Y11-0.528*Z11</f>
        <v>-4.4371164677253105E-2</v>
      </c>
      <c r="AB11" s="50">
        <f>AA11-$AA$22</f>
        <v>5.762801608386936E-2</v>
      </c>
      <c r="AC11" s="47"/>
      <c r="AD11" s="47" t="s">
        <v>42</v>
      </c>
      <c r="AE11" s="47"/>
      <c r="AF11" s="47">
        <f t="shared" si="7"/>
        <v>1017.8571428571428</v>
      </c>
      <c r="AG11" s="47"/>
      <c r="AH11" s="47"/>
      <c r="AI11" s="47"/>
    </row>
    <row r="12" spans="1:35" ht="14" x14ac:dyDescent="0.2">
      <c r="A12" s="62">
        <f t="shared" si="2"/>
        <v>45235.513888888891</v>
      </c>
      <c r="B12" s="47" t="s">
        <v>43</v>
      </c>
      <c r="C12" s="62">
        <v>45235</v>
      </c>
      <c r="D12" s="62" t="s">
        <v>44</v>
      </c>
      <c r="E12" s="48">
        <v>0.55600000000000005</v>
      </c>
      <c r="F12" s="47">
        <v>700</v>
      </c>
      <c r="G12" s="67">
        <v>0.51388888888888895</v>
      </c>
      <c r="H12" s="49">
        <v>12.75</v>
      </c>
      <c r="I12" s="49"/>
      <c r="J12" s="49">
        <v>458.83</v>
      </c>
      <c r="K12" s="49">
        <v>456.82</v>
      </c>
      <c r="L12" s="49">
        <f t="shared" si="0"/>
        <v>2.0099999999999909</v>
      </c>
      <c r="M12" s="50">
        <f t="shared" si="3"/>
        <v>28.651976000000001</v>
      </c>
      <c r="N12" s="50">
        <f t="shared" si="4"/>
        <v>-0.10199999999999999</v>
      </c>
      <c r="O12" s="50">
        <f t="shared" ref="O12" si="10">1000*LN(M12/1000+1)</f>
        <v>28.249183900628257</v>
      </c>
      <c r="P12" s="50">
        <f t="shared" ref="P12" si="11">N12+0.528*O12</f>
        <v>14.813569099531721</v>
      </c>
      <c r="Q12" s="63">
        <v>38.758099999999999</v>
      </c>
      <c r="R12" s="64">
        <f>(1000+Q12)/(1000+M12)</f>
        <v>1.0098246289666388</v>
      </c>
      <c r="S12" s="50">
        <f t="shared" si="6"/>
        <v>14.923833812788168</v>
      </c>
      <c r="T12" s="63">
        <v>20.078399999999998</v>
      </c>
      <c r="U12" s="64">
        <f>(1000+T12)/(1000+S12)</f>
        <v>1.005078771446176</v>
      </c>
      <c r="V12" s="65">
        <f>1000*LN(T12/1000+1)-0.528*(1000*LN(Q12/1000+1))</f>
        <v>-0.19816962778754998</v>
      </c>
      <c r="W12" s="50">
        <f>((1000+Q12)/$R$22)-1000</f>
        <v>28.636515627079461</v>
      </c>
      <c r="X12" s="50">
        <f>((1000+T12)/$U$22)-1000</f>
        <v>14.908586480732311</v>
      </c>
      <c r="Y12" s="50">
        <f>1000*(LN(X12/1000+1))</f>
        <v>14.798545857313655</v>
      </c>
      <c r="Z12" s="50">
        <f>1000*(LN(W12/1000+1))</f>
        <v>28.23415404654239</v>
      </c>
      <c r="AA12" s="66">
        <f>Y12-0.528*Z12</f>
        <v>-0.1090874792607277</v>
      </c>
      <c r="AB12" s="50">
        <f>AA12-$AA$22</f>
        <v>-7.0882984996052389E-3</v>
      </c>
      <c r="AC12" s="47"/>
      <c r="AD12" s="47"/>
      <c r="AE12" s="47"/>
      <c r="AF12" s="47">
        <f t="shared" si="7"/>
        <v>1258.9928057553955</v>
      </c>
      <c r="AG12" s="47"/>
      <c r="AH12" s="47"/>
      <c r="AI12" s="47"/>
    </row>
    <row r="13" spans="1:35" ht="14" x14ac:dyDescent="0.2">
      <c r="A13" s="62">
        <f t="shared" si="2"/>
        <v>45236.177083333336</v>
      </c>
      <c r="B13" s="47" t="s">
        <v>45</v>
      </c>
      <c r="C13" s="62">
        <v>45236</v>
      </c>
      <c r="D13" s="62" t="s">
        <v>41</v>
      </c>
      <c r="E13" s="48">
        <v>0.55600000000000005</v>
      </c>
      <c r="F13" s="47">
        <v>12.1</v>
      </c>
      <c r="G13" s="67">
        <v>0.17708333333333334</v>
      </c>
      <c r="H13" s="49">
        <f>12+1+12+4.25</f>
        <v>29.25</v>
      </c>
      <c r="I13" s="49"/>
      <c r="J13" s="49"/>
      <c r="K13" s="49"/>
      <c r="L13" s="49"/>
      <c r="M13" s="50"/>
      <c r="N13" s="50"/>
      <c r="O13" s="50"/>
      <c r="P13" s="50"/>
      <c r="Q13" s="63"/>
      <c r="R13" s="64"/>
      <c r="S13" s="50"/>
      <c r="T13" s="63"/>
      <c r="U13" s="64"/>
      <c r="V13" s="65"/>
      <c r="W13" s="50"/>
      <c r="X13" s="50"/>
      <c r="Y13" s="50"/>
      <c r="Z13" s="50"/>
      <c r="AA13" s="66"/>
      <c r="AB13" s="50"/>
      <c r="AC13" s="47"/>
      <c r="AD13" s="47" t="s">
        <v>46</v>
      </c>
      <c r="AE13" s="47"/>
      <c r="AF13" s="47"/>
      <c r="AG13" s="47"/>
      <c r="AH13" s="47"/>
      <c r="AI13" s="47"/>
    </row>
    <row r="14" spans="1:35" ht="14" x14ac:dyDescent="0.2">
      <c r="A14" s="62">
        <f>C14+G14</f>
        <v>45236.197916666664</v>
      </c>
      <c r="B14" s="47" t="s">
        <v>45</v>
      </c>
      <c r="C14" s="62">
        <v>45236</v>
      </c>
      <c r="D14" s="62" t="s">
        <v>41</v>
      </c>
      <c r="E14" s="48">
        <v>0.55600000000000005</v>
      </c>
      <c r="F14" s="47">
        <v>524</v>
      </c>
      <c r="G14" s="67">
        <v>0.19791666666666666</v>
      </c>
      <c r="H14" s="49">
        <f>12+1+12+4.75</f>
        <v>29.75</v>
      </c>
      <c r="I14" s="49"/>
      <c r="J14" s="49">
        <v>459.62</v>
      </c>
      <c r="K14" s="49">
        <v>455.97</v>
      </c>
      <c r="L14" s="49">
        <f t="shared" si="0"/>
        <v>3.6499999999999773</v>
      </c>
      <c r="M14" s="50">
        <f t="shared" si="3"/>
        <v>28.651976000000001</v>
      </c>
      <c r="N14" s="50">
        <f t="shared" si="4"/>
        <v>-0.10199999999999999</v>
      </c>
      <c r="O14" s="50">
        <f t="shared" ref="O14" si="12">1000*LN(M14/1000+1)</f>
        <v>28.249183900628257</v>
      </c>
      <c r="P14" s="50">
        <f t="shared" ref="P14" si="13">N14+0.528*O14</f>
        <v>14.813569099531721</v>
      </c>
      <c r="Q14" s="63">
        <v>38.704599999999999</v>
      </c>
      <c r="R14" s="64">
        <f>(1000+Q14)/(1000+M14)</f>
        <v>1.0097726191506387</v>
      </c>
      <c r="S14" s="50">
        <f t="shared" si="6"/>
        <v>14.923833812788168</v>
      </c>
      <c r="T14" s="63">
        <v>20.0746</v>
      </c>
      <c r="U14" s="64">
        <f>(1000+T14)/(1000+S14)</f>
        <v>1.0050750273228504</v>
      </c>
      <c r="V14" s="65">
        <f>1000*LN(T14/1000+1)-0.528*(1000*LN(Q14/1000+1))</f>
        <v>-0.17470012649887323</v>
      </c>
      <c r="W14" s="50">
        <f>((1000+Q14)/$R$22)-1000</f>
        <v>28.58353692723972</v>
      </c>
      <c r="X14" s="50">
        <f>((1000+T14)/$U$22)-1000</f>
        <v>14.904805739341668</v>
      </c>
      <c r="Y14" s="50">
        <f>1000*(LN(X14/1000+1))</f>
        <v>14.794820646508446</v>
      </c>
      <c r="Z14" s="50">
        <f>1000*(LN(W14/1000+1))</f>
        <v>28.182648910000982</v>
      </c>
      <c r="AA14" s="66">
        <f>Y14-0.528*Z14</f>
        <v>-8.5617977972072268E-2</v>
      </c>
      <c r="AB14" s="50">
        <f>AA14-$AA$22</f>
        <v>1.6381202789050198E-2</v>
      </c>
      <c r="AC14" s="47"/>
      <c r="AD14" s="47"/>
      <c r="AE14" s="47"/>
      <c r="AF14" s="47">
        <f t="shared" si="7"/>
        <v>942.44604316546759</v>
      </c>
      <c r="AG14" s="47"/>
      <c r="AH14" s="47"/>
      <c r="AI14" s="47"/>
    </row>
    <row r="15" spans="1:35" s="68" customFormat="1" ht="14" x14ac:dyDescent="0.2">
      <c r="A15" s="62">
        <f t="shared" ref="A15:A19" si="14">C15+G15</f>
        <v>45236.600694444445</v>
      </c>
      <c r="B15" s="68" t="s">
        <v>47</v>
      </c>
      <c r="C15" s="69">
        <v>45236</v>
      </c>
      <c r="D15" s="68" t="s">
        <v>44</v>
      </c>
      <c r="E15" s="70">
        <v>0.56999999999999995</v>
      </c>
      <c r="F15" s="68">
        <v>472</v>
      </c>
      <c r="G15" s="71">
        <v>0.60069444444444442</v>
      </c>
      <c r="H15" s="72">
        <v>2</v>
      </c>
      <c r="I15" s="72"/>
      <c r="J15" s="72">
        <v>454.97</v>
      </c>
      <c r="K15" s="72">
        <v>456.04</v>
      </c>
      <c r="L15" s="72">
        <f>J15-K15</f>
        <v>-1.0699999999999932</v>
      </c>
      <c r="M15" s="50">
        <f t="shared" si="3"/>
        <v>28.651976000000001</v>
      </c>
      <c r="N15" s="50">
        <f t="shared" si="4"/>
        <v>-0.10199999999999999</v>
      </c>
      <c r="O15" s="50">
        <f t="shared" ref="O15:O16" si="15">1000*LN(M15/1000+1)</f>
        <v>28.249183900628257</v>
      </c>
      <c r="P15" s="50">
        <f t="shared" ref="P15:P16" si="16">N15+0.528*O15</f>
        <v>14.813569099531721</v>
      </c>
      <c r="Q15" s="73">
        <v>37.8155</v>
      </c>
      <c r="R15" s="64">
        <f>(1000+Q15)/(1000+M15)</f>
        <v>1.0089082840589418</v>
      </c>
      <c r="S15" s="50">
        <f t="shared" ref="S15:S16" si="17">(EXP(P15/1000)-1)*1000</f>
        <v>14.923833812788168</v>
      </c>
      <c r="T15" s="73">
        <v>19.488900000000001</v>
      </c>
      <c r="U15" s="64">
        <f>(1000+T15)/(1000+S15)</f>
        <v>1.0044979396828846</v>
      </c>
      <c r="V15" s="65">
        <f>1000*LN(T15/1000+1)-0.528*(1000*LN(Q15/1000+1))</f>
        <v>-0.29689300895381621</v>
      </c>
      <c r="W15" s="50">
        <f>((1000+Q15)/$R$22)-1000</f>
        <v>27.703100253827415</v>
      </c>
      <c r="X15" s="50">
        <f>((1000+T15)/$U$22)-1000</f>
        <v>14.322074099203292</v>
      </c>
      <c r="Y15" s="50">
        <f>1000*(LN(X15/1000+1))</f>
        <v>14.220482052882824</v>
      </c>
      <c r="Z15" s="50">
        <f>1000*(LN(W15/1000+1))</f>
        <v>27.326312335813824</v>
      </c>
      <c r="AA15" s="66"/>
      <c r="AB15" s="50">
        <f>AA15-$AA$22</f>
        <v>0.10199918076112247</v>
      </c>
      <c r="AF15" s="47">
        <f t="shared" si="7"/>
        <v>828.07017543859661</v>
      </c>
    </row>
    <row r="16" spans="1:35" ht="14" x14ac:dyDescent="0.2">
      <c r="A16" s="62">
        <f t="shared" si="14"/>
        <v>45236.659722222219</v>
      </c>
      <c r="B16" s="47" t="s">
        <v>48</v>
      </c>
      <c r="C16" s="62">
        <v>45236</v>
      </c>
      <c r="D16" s="47" t="s">
        <v>44</v>
      </c>
      <c r="E16" s="48">
        <v>0.59799999999999998</v>
      </c>
      <c r="F16" s="47">
        <v>497</v>
      </c>
      <c r="G16" s="67">
        <v>0.65972222222222221</v>
      </c>
      <c r="H16" s="49">
        <v>2</v>
      </c>
      <c r="I16" s="49"/>
      <c r="J16" s="49">
        <v>458.83</v>
      </c>
      <c r="K16" s="49">
        <v>455.9</v>
      </c>
      <c r="L16" s="49">
        <f>J16-K16</f>
        <v>2.9300000000000068</v>
      </c>
      <c r="M16" s="50">
        <f t="shared" si="3"/>
        <v>28.651976000000001</v>
      </c>
      <c r="N16" s="50">
        <f t="shared" si="4"/>
        <v>-0.10199999999999999</v>
      </c>
      <c r="O16" s="50">
        <f t="shared" si="15"/>
        <v>28.249183900628257</v>
      </c>
      <c r="P16" s="50">
        <f t="shared" si="16"/>
        <v>14.813569099531721</v>
      </c>
      <c r="Q16" s="75">
        <v>38.924799999999998</v>
      </c>
      <c r="R16" s="64">
        <f>(1000+Q16)/(1000+M16)</f>
        <v>1.0099866857204189</v>
      </c>
      <c r="S16" s="50">
        <f t="shared" si="17"/>
        <v>14.923833812788168</v>
      </c>
      <c r="T16" s="75">
        <v>20.1173</v>
      </c>
      <c r="U16" s="64">
        <f>(1000+T16)/(1000+S16)</f>
        <v>1.0051170994454839</v>
      </c>
      <c r="V16" s="65">
        <f>1000*LN(T16/1000+1)-0.528*(1000*LN(Q16/1000+1))</f>
        <v>-0.24476272368421803</v>
      </c>
      <c r="W16" s="50">
        <f>((1000+Q16)/$R$22)-1000</f>
        <v>28.801591314243751</v>
      </c>
      <c r="X16" s="50">
        <f>((1000+T16)/$U$22)-1000</f>
        <v>14.947289333389563</v>
      </c>
      <c r="Y16" s="50">
        <f>1000*(LN(X16/1000+1))</f>
        <v>14.836679454011831</v>
      </c>
      <c r="Z16" s="50">
        <f>1000*(LN(W16/1000+1))</f>
        <v>28.394621267365782</v>
      </c>
      <c r="AA16" s="66">
        <f>Y16-0.528*Z16</f>
        <v>-0.15568057515730338</v>
      </c>
      <c r="AB16" s="50">
        <f>AA16-$AA$22</f>
        <v>-5.3681394396180915E-2</v>
      </c>
      <c r="AC16" s="47"/>
      <c r="AD16" s="47"/>
      <c r="AE16" s="47"/>
      <c r="AF16" s="47">
        <f t="shared" si="7"/>
        <v>831.10367892976592</v>
      </c>
      <c r="AG16" s="47"/>
      <c r="AH16" s="47"/>
      <c r="AI16" s="47"/>
    </row>
    <row r="17" spans="1:35" ht="14" x14ac:dyDescent="0.2">
      <c r="A17" s="62">
        <f t="shared" si="14"/>
        <v>45238.104166666664</v>
      </c>
      <c r="B17" s="47" t="s">
        <v>49</v>
      </c>
      <c r="C17" s="62">
        <v>45238</v>
      </c>
      <c r="D17" s="62" t="s">
        <v>41</v>
      </c>
      <c r="E17" s="48">
        <v>0.59799999999999998</v>
      </c>
      <c r="F17" s="47">
        <v>601</v>
      </c>
      <c r="G17" s="67">
        <v>0.10416666666666667</v>
      </c>
      <c r="H17" s="49">
        <v>3</v>
      </c>
      <c r="I17" s="49"/>
      <c r="J17" s="49">
        <v>458.64</v>
      </c>
      <c r="K17" s="49">
        <v>456.61</v>
      </c>
      <c r="L17" s="49">
        <f>J17-K17</f>
        <v>2.0299999999999727</v>
      </c>
      <c r="M17" s="50">
        <f t="shared" si="3"/>
        <v>28.651976000000001</v>
      </c>
      <c r="N17" s="50">
        <f t="shared" si="4"/>
        <v>-0.10199999999999999</v>
      </c>
      <c r="O17" s="50">
        <f t="shared" ref="O17" si="18">1000*LN(M17/1000+1)</f>
        <v>28.249183900628257</v>
      </c>
      <c r="P17" s="50">
        <f t="shared" ref="P17" si="19">N17+0.528*O17</f>
        <v>14.813569099531721</v>
      </c>
      <c r="Q17" s="63">
        <v>38.799799999999998</v>
      </c>
      <c r="R17" s="64">
        <f>(1000+Q17)/(1000+M17)</f>
        <v>1.0098651674587362</v>
      </c>
      <c r="S17" s="50">
        <f>(EXP(P17/1000)-1)*1000</f>
        <v>14.923833812788168</v>
      </c>
      <c r="T17" s="63">
        <v>20.114999999999998</v>
      </c>
      <c r="U17" s="64">
        <f>(1000+T17)/(1000+S17)</f>
        <v>1.0051148332655762</v>
      </c>
      <c r="V17" s="65">
        <f>1000*LN(T17/1000+1)-0.528*(1000*LN(Q17/1000+1))</f>
        <v>-0.18348633107439483</v>
      </c>
      <c r="W17" s="50">
        <f>((1000+Q17)/$R$22)-1000</f>
        <v>28.677809305272376</v>
      </c>
      <c r="X17" s="50">
        <f>((1000+T17)/$U$22)-1000</f>
        <v>14.945000989916252</v>
      </c>
      <c r="Y17" s="50">
        <f>1000*(LN(X17/1000+1))</f>
        <v>14.834424808793397</v>
      </c>
      <c r="Z17" s="50">
        <f>1000*(LN(W17/1000+1))</f>
        <v>28.274297332085261</v>
      </c>
      <c r="AA17" s="66">
        <f>Y17-0.528*Z17</f>
        <v>-9.4404182547622284E-2</v>
      </c>
      <c r="AB17" s="50">
        <f>AA17-$AA$22</f>
        <v>7.5949982135001814E-3</v>
      </c>
      <c r="AC17" s="47"/>
      <c r="AD17" s="47" t="s">
        <v>50</v>
      </c>
      <c r="AE17" s="47"/>
      <c r="AF17" s="47">
        <f t="shared" si="7"/>
        <v>1005.0167224080268</v>
      </c>
      <c r="AG17" s="47"/>
      <c r="AH17" s="47"/>
      <c r="AI17" s="47"/>
    </row>
    <row r="18" spans="1:35" ht="14" x14ac:dyDescent="0.2">
      <c r="A18" s="62">
        <f t="shared" si="14"/>
        <v>45238.576388888891</v>
      </c>
      <c r="B18" s="47" t="s">
        <v>51</v>
      </c>
      <c r="C18" s="62">
        <v>45238</v>
      </c>
      <c r="D18" s="47" t="s">
        <v>44</v>
      </c>
      <c r="E18" s="48">
        <v>0.57799999999999996</v>
      </c>
      <c r="F18" s="47">
        <v>412</v>
      </c>
      <c r="G18" s="67">
        <v>0.57638888888888895</v>
      </c>
      <c r="H18" s="49">
        <v>2.5</v>
      </c>
      <c r="I18" s="49"/>
      <c r="J18" s="49"/>
      <c r="K18" s="49"/>
      <c r="L18" s="49"/>
      <c r="M18" s="50"/>
      <c r="N18" s="50"/>
      <c r="O18" s="50"/>
      <c r="P18" s="50"/>
      <c r="Q18" s="75"/>
      <c r="R18" s="64"/>
      <c r="S18" s="50"/>
      <c r="T18" s="75"/>
      <c r="U18" s="64"/>
      <c r="V18" s="65"/>
      <c r="W18" s="50"/>
      <c r="X18" s="50"/>
      <c r="Y18" s="50"/>
      <c r="Z18" s="50"/>
      <c r="AA18" s="66"/>
      <c r="AB18" s="50"/>
      <c r="AC18" s="47"/>
      <c r="AD18" s="47"/>
      <c r="AE18" s="47"/>
      <c r="AF18" s="47">
        <f t="shared" si="7"/>
        <v>712.80276816609</v>
      </c>
      <c r="AG18" s="47"/>
      <c r="AH18" s="47"/>
      <c r="AI18" s="47"/>
    </row>
    <row r="19" spans="1:35" ht="14" x14ac:dyDescent="0.2">
      <c r="A19" s="62">
        <f t="shared" si="14"/>
        <v>45238.588194444441</v>
      </c>
      <c r="B19" s="47" t="s">
        <v>52</v>
      </c>
      <c r="C19" s="62">
        <v>45238</v>
      </c>
      <c r="D19" s="47" t="s">
        <v>53</v>
      </c>
      <c r="E19" s="48">
        <v>0.56999999999999995</v>
      </c>
      <c r="F19" s="47">
        <v>530</v>
      </c>
      <c r="G19" s="67">
        <v>0.58819444444444446</v>
      </c>
      <c r="H19" s="49">
        <v>3</v>
      </c>
      <c r="I19" s="49"/>
      <c r="J19" s="49">
        <v>460.52</v>
      </c>
      <c r="K19" s="49">
        <v>456.24</v>
      </c>
      <c r="L19" s="49">
        <f>J19-K19</f>
        <v>4.2799999999999727</v>
      </c>
      <c r="M19" s="50">
        <f t="shared" si="3"/>
        <v>28.651976000000001</v>
      </c>
      <c r="N19" s="50">
        <f t="shared" si="4"/>
        <v>-0.10199999999999999</v>
      </c>
      <c r="O19" s="50">
        <f t="shared" ref="O19" si="20">1000*LN(M19/1000+1)</f>
        <v>28.249183900628257</v>
      </c>
      <c r="P19" s="50">
        <f t="shared" ref="P19" si="21">N19+0.528*O19</f>
        <v>14.813569099531721</v>
      </c>
      <c r="Q19" s="75">
        <v>38.710500000000003</v>
      </c>
      <c r="R19" s="64">
        <f>(1000+Q19)/(1000+M19)</f>
        <v>1.00977835481259</v>
      </c>
      <c r="S19" s="50">
        <v>14.923833812788168</v>
      </c>
      <c r="T19" s="75">
        <v>20.049900000000001</v>
      </c>
      <c r="U19" s="64">
        <f>(1000+T19)/(1000+S19)</f>
        <v>1.0050506905212331</v>
      </c>
      <c r="V19" s="65">
        <f>1000*LN(T19/1000+1)-0.528*(1000*LN(Q19/1000+1))</f>
        <v>-0.20191344672837275</v>
      </c>
      <c r="W19" s="50">
        <f>((1000+Q19)/$R$22)-1000</f>
        <v>28.589379438062906</v>
      </c>
      <c r="X19" s="50">
        <f>((1000+T19)/$U$22)-1000</f>
        <v>14.880230920302097</v>
      </c>
      <c r="Y19" s="50">
        <f>1000*(LN(X19/1000+1))</f>
        <v>14.770606438011406</v>
      </c>
      <c r="Z19" s="50">
        <f>1000*(LN(W19/1000+1))</f>
        <v>28.188329045857991</v>
      </c>
      <c r="AA19" s="66">
        <f>Y19-0.528*Z19</f>
        <v>-0.11283129820161442</v>
      </c>
      <c r="AB19" s="50">
        <f>AA19-$AA$22</f>
        <v>-1.0832117440491951E-2</v>
      </c>
      <c r="AC19" s="47"/>
      <c r="AD19" s="47"/>
      <c r="AE19" s="47"/>
      <c r="AF19" s="47">
        <f t="shared" si="7"/>
        <v>929.82456140350882</v>
      </c>
      <c r="AG19" s="47"/>
      <c r="AH19" s="47"/>
      <c r="AI19" s="47"/>
    </row>
    <row r="20" spans="1:35" ht="14" x14ac:dyDescent="0.2">
      <c r="A20" s="62"/>
      <c r="B20" s="47"/>
      <c r="C20" s="62"/>
      <c r="D20" s="47"/>
      <c r="E20" s="48"/>
      <c r="F20" s="47"/>
      <c r="G20" s="67"/>
      <c r="H20" s="49"/>
      <c r="I20" s="49"/>
      <c r="J20" s="49"/>
      <c r="K20" s="49"/>
      <c r="L20" s="49"/>
      <c r="M20" s="50"/>
      <c r="N20" s="50"/>
      <c r="O20" s="50"/>
      <c r="P20" s="50"/>
      <c r="Q20" s="75"/>
      <c r="R20" s="64"/>
      <c r="S20" s="50"/>
      <c r="T20" s="75"/>
      <c r="U20" s="64"/>
      <c r="V20" s="65"/>
      <c r="W20" s="50"/>
      <c r="X20" s="50"/>
      <c r="Y20" s="50"/>
      <c r="Z20" s="50"/>
      <c r="AA20" s="66"/>
      <c r="AB20" s="50"/>
      <c r="AC20" s="47"/>
      <c r="AD20" s="47"/>
      <c r="AE20" s="47"/>
      <c r="AF20" s="47"/>
      <c r="AG20" s="47"/>
      <c r="AH20" s="47"/>
      <c r="AI20" s="47"/>
    </row>
    <row r="21" spans="1:35" ht="15" customHeight="1" x14ac:dyDescent="0.2">
      <c r="A21" s="62"/>
      <c r="B21" s="47"/>
      <c r="C21" s="47"/>
      <c r="D21" s="47"/>
      <c r="E21" s="48"/>
      <c r="F21" s="47"/>
      <c r="G21" s="47"/>
      <c r="H21" s="49"/>
      <c r="I21" s="49"/>
      <c r="J21" s="49"/>
      <c r="K21" s="49"/>
      <c r="L21" s="49"/>
      <c r="M21" s="50"/>
      <c r="N21" s="50"/>
      <c r="O21" s="47"/>
      <c r="P21" s="47"/>
      <c r="Q21" s="47"/>
      <c r="R21" s="51"/>
      <c r="S21" s="47"/>
      <c r="T21" s="47"/>
      <c r="U21" s="51"/>
      <c r="V21" s="47"/>
      <c r="W21" s="47"/>
      <c r="X21" s="47"/>
      <c r="Y21" s="47"/>
      <c r="Z21" s="47"/>
      <c r="AA21" s="47"/>
      <c r="AB21" s="47"/>
      <c r="AC21" s="47"/>
      <c r="AD21" s="47"/>
      <c r="AE21" s="47"/>
      <c r="AF21" s="47"/>
      <c r="AG21" s="47"/>
      <c r="AH21" s="47"/>
      <c r="AI21" s="47"/>
    </row>
    <row r="22" spans="1:35" s="85" customFormat="1" ht="14" x14ac:dyDescent="0.2">
      <c r="A22" s="149"/>
      <c r="B22" s="79" t="s">
        <v>54</v>
      </c>
      <c r="C22" s="79"/>
      <c r="D22" s="79"/>
      <c r="E22" s="80"/>
      <c r="F22" s="79"/>
      <c r="G22" s="79"/>
      <c r="H22" s="81"/>
      <c r="I22" s="81"/>
      <c r="J22" s="81"/>
      <c r="K22" s="81"/>
      <c r="L22" s="81"/>
      <c r="M22" s="82">
        <f>1.03092*$C$2+30.92</f>
        <v>28.651976000000001</v>
      </c>
      <c r="N22" s="82">
        <v>-0.10199999999999999</v>
      </c>
      <c r="O22" s="82">
        <f>1000*LN(M22/1000+1)</f>
        <v>28.249183900628257</v>
      </c>
      <c r="P22" s="82">
        <f>N22+0.528*O22</f>
        <v>14.813569099531721</v>
      </c>
      <c r="Q22" s="83">
        <f>AVERAGE(Q8:Q14,Q16:Q21)</f>
        <v>38.773712500000002</v>
      </c>
      <c r="R22" s="84">
        <f>(1000+Q22)/(1000+M22)</f>
        <v>1.0098398065975231</v>
      </c>
      <c r="S22" s="82">
        <f>(EXP(P22/1000)-1)*1000</f>
        <v>14.923833812788168</v>
      </c>
      <c r="T22" s="83">
        <f>AVERAGEA(T8:T14,T16:T21)</f>
        <v>20.093725000000003</v>
      </c>
      <c r="U22" s="84">
        <f>(1000+T22)/(1000+S22)</f>
        <v>1.0050938711014303</v>
      </c>
      <c r="V22" s="83">
        <f>AVERAGE(V8:V14,V16:V21)</f>
        <v>-0.19108132928796051</v>
      </c>
      <c r="W22" s="82">
        <f>AVERAGE(W8:W14,W16:W21)</f>
        <v>28.651975999999934</v>
      </c>
      <c r="X22" s="79"/>
      <c r="Y22" s="82">
        <f>AVERAGE(Y8:Y14,Y16:Y21)</f>
        <v>14.813568507419447</v>
      </c>
      <c r="Z22" s="82">
        <f>AVERAGE(Z8:Z14,Z16:Z21)</f>
        <v>28.249181227614709</v>
      </c>
      <c r="AA22" s="82">
        <f>AVERAGE(AA8:AA14,AA16:AA21)</f>
        <v>-0.10199918076112247</v>
      </c>
      <c r="AB22" s="6" t="s">
        <v>55</v>
      </c>
      <c r="AC22" s="6"/>
      <c r="AD22" s="6"/>
      <c r="AE22" s="6"/>
      <c r="AF22" s="47"/>
      <c r="AG22" s="6"/>
      <c r="AH22" s="6"/>
      <c r="AI22" s="6"/>
    </row>
    <row r="23" spans="1:35" ht="14" x14ac:dyDescent="0.2">
      <c r="A23" s="62"/>
      <c r="B23" s="68"/>
      <c r="C23" s="47"/>
      <c r="D23" s="47"/>
      <c r="E23" s="48"/>
      <c r="F23" s="47"/>
      <c r="G23" s="47"/>
      <c r="H23" s="49"/>
      <c r="I23" s="49"/>
      <c r="J23" s="49"/>
      <c r="K23" s="49"/>
      <c r="L23" s="49"/>
      <c r="M23" s="50"/>
      <c r="N23" s="50"/>
      <c r="O23" s="47"/>
      <c r="P23" s="47"/>
      <c r="Q23" s="47"/>
      <c r="R23" s="84">
        <f>STDEV(R7:R13)</f>
        <v>1.0765328741142527E-4</v>
      </c>
      <c r="S23" s="47"/>
      <c r="T23" s="47"/>
      <c r="U23" s="84">
        <f>STDEV(U7:U13)</f>
        <v>5.1584408156429369E-5</v>
      </c>
      <c r="V23" s="47"/>
      <c r="W23" s="82">
        <f>STDEV(W8:W13)</f>
        <v>6.6100513808983408E-2</v>
      </c>
      <c r="X23" s="82">
        <f>STDEV(X8:X13)</f>
        <v>4.6246858422369565E-2</v>
      </c>
      <c r="Y23" s="47"/>
      <c r="Z23" s="47"/>
      <c r="AA23" s="82">
        <f>STDEV(AA8:AA14)</f>
        <v>4.0454677447233439E-2</v>
      </c>
      <c r="AB23" s="6" t="s">
        <v>56</v>
      </c>
      <c r="AC23" s="47"/>
      <c r="AD23" s="47"/>
      <c r="AE23" s="47"/>
      <c r="AF23" s="47"/>
      <c r="AG23" s="47"/>
      <c r="AH23" s="47"/>
      <c r="AI23" s="47"/>
    </row>
    <row r="24" spans="1:35" ht="14" x14ac:dyDescent="0.2">
      <c r="A24" s="62"/>
      <c r="B24" s="68"/>
      <c r="C24" s="47"/>
      <c r="D24" s="47"/>
      <c r="E24" s="48"/>
      <c r="F24" s="47"/>
      <c r="G24" s="47"/>
      <c r="H24" s="49"/>
      <c r="I24" s="49"/>
      <c r="J24" s="49"/>
      <c r="K24" s="49"/>
      <c r="L24" s="49"/>
      <c r="M24" s="50"/>
      <c r="N24" s="50"/>
      <c r="O24" s="47"/>
      <c r="P24" s="47"/>
      <c r="Q24" s="47"/>
      <c r="R24" s="51"/>
      <c r="S24" s="47"/>
      <c r="T24" s="47"/>
      <c r="U24" s="51"/>
      <c r="V24" s="47"/>
      <c r="W24" s="47"/>
      <c r="X24" s="47"/>
      <c r="Y24" s="47"/>
      <c r="Z24" s="47"/>
      <c r="AA24" s="86">
        <f>AA22*1000</f>
        <v>-101.99918076112246</v>
      </c>
      <c r="AB24" s="6" t="s">
        <v>57</v>
      </c>
      <c r="AC24" s="47"/>
      <c r="AD24" s="47"/>
      <c r="AE24" s="47"/>
      <c r="AF24" s="47"/>
      <c r="AG24" s="47"/>
      <c r="AH24" s="47"/>
      <c r="AI24" s="47"/>
    </row>
    <row r="25" spans="1:35" ht="14" x14ac:dyDescent="0.2">
      <c r="A25" s="62"/>
      <c r="B25" s="47"/>
      <c r="C25" s="62"/>
      <c r="D25" s="62"/>
      <c r="E25" s="48"/>
      <c r="F25" s="47"/>
      <c r="G25" s="47"/>
      <c r="H25" s="49"/>
      <c r="I25" s="49"/>
      <c r="J25" s="49"/>
      <c r="K25" s="49"/>
      <c r="L25" s="49"/>
      <c r="M25" s="50"/>
      <c r="N25" s="50"/>
      <c r="O25" s="50"/>
      <c r="P25" s="50"/>
      <c r="Q25" s="63"/>
      <c r="R25" s="64"/>
      <c r="S25" s="50"/>
      <c r="T25" s="63"/>
      <c r="U25" s="64"/>
      <c r="V25" s="65"/>
      <c r="W25" s="50"/>
      <c r="X25" s="50"/>
      <c r="Y25" s="50"/>
      <c r="Z25" s="50"/>
      <c r="AA25" s="87">
        <f>AA23*1000</f>
        <v>40.454677447233436</v>
      </c>
      <c r="AB25" s="6" t="s">
        <v>58</v>
      </c>
      <c r="AC25" s="47"/>
      <c r="AD25" s="47"/>
      <c r="AE25" s="47"/>
      <c r="AF25" s="47"/>
      <c r="AG25" s="47"/>
      <c r="AH25" s="47"/>
      <c r="AI25" s="47"/>
    </row>
    <row r="26" spans="1:35" ht="14" x14ac:dyDescent="0.2">
      <c r="A26" s="62"/>
      <c r="B26" s="47"/>
      <c r="C26" s="62"/>
      <c r="D26" s="62"/>
      <c r="E26" s="48"/>
      <c r="F26" s="47"/>
      <c r="G26" s="47"/>
      <c r="H26" s="49"/>
      <c r="I26" s="49"/>
      <c r="J26" s="49"/>
      <c r="K26" s="49"/>
      <c r="L26" s="49"/>
      <c r="M26" s="50"/>
      <c r="N26" s="50"/>
      <c r="O26" s="50"/>
      <c r="P26" s="50"/>
      <c r="Q26" s="63"/>
      <c r="R26" s="64"/>
      <c r="S26" s="50"/>
      <c r="T26" s="63"/>
      <c r="U26" s="64"/>
      <c r="V26" s="48"/>
      <c r="W26" s="50"/>
      <c r="X26" s="50"/>
      <c r="Y26" s="50"/>
      <c r="Z26" s="50"/>
      <c r="AA26" s="66"/>
      <c r="AB26" s="50"/>
      <c r="AC26" s="47"/>
      <c r="AD26" s="47"/>
      <c r="AE26" s="47"/>
      <c r="AF26" s="47"/>
      <c r="AG26" s="47"/>
      <c r="AH26" s="47"/>
      <c r="AI26" s="47"/>
    </row>
    <row r="27" spans="1:35" thickBot="1" x14ac:dyDescent="0.25">
      <c r="A27" s="88" t="s">
        <v>59</v>
      </c>
      <c r="B27" s="53" t="s">
        <v>5</v>
      </c>
      <c r="C27" s="53" t="s">
        <v>6</v>
      </c>
      <c r="D27" s="53" t="s">
        <v>7</v>
      </c>
      <c r="E27" s="54" t="s">
        <v>8</v>
      </c>
      <c r="F27" s="53" t="s">
        <v>9</v>
      </c>
      <c r="G27" s="53" t="s">
        <v>10</v>
      </c>
      <c r="H27" s="55" t="s">
        <v>11</v>
      </c>
      <c r="I27" s="55"/>
      <c r="J27" s="55" t="s">
        <v>12</v>
      </c>
      <c r="K27" s="55" t="s">
        <v>13</v>
      </c>
      <c r="L27" s="55" t="s">
        <v>14</v>
      </c>
      <c r="M27" s="56" t="s">
        <v>15</v>
      </c>
      <c r="N27" s="56" t="s">
        <v>2</v>
      </c>
      <c r="O27" s="57" t="s">
        <v>16</v>
      </c>
      <c r="P27" s="57" t="s">
        <v>17</v>
      </c>
      <c r="Q27" s="58" t="s">
        <v>18</v>
      </c>
      <c r="R27" s="59" t="s">
        <v>19</v>
      </c>
      <c r="S27" s="53" t="s">
        <v>20</v>
      </c>
      <c r="T27" s="58" t="s">
        <v>21</v>
      </c>
      <c r="U27" s="59" t="s">
        <v>22</v>
      </c>
      <c r="V27" s="53" t="s">
        <v>23</v>
      </c>
      <c r="W27" s="1" t="s">
        <v>24</v>
      </c>
      <c r="X27" s="1" t="s">
        <v>25</v>
      </c>
      <c r="Y27" s="60" t="s">
        <v>26</v>
      </c>
      <c r="Z27" s="60" t="s">
        <v>27</v>
      </c>
      <c r="AA27" s="61" t="s">
        <v>28</v>
      </c>
      <c r="AB27" s="1" t="s">
        <v>29</v>
      </c>
      <c r="AC27" s="47"/>
      <c r="AD27" s="47"/>
      <c r="AE27" s="47"/>
      <c r="AF27" s="47"/>
      <c r="AG27" s="47"/>
      <c r="AH27" s="47"/>
      <c r="AI27" s="47"/>
    </row>
    <row r="28" spans="1:35" ht="14" x14ac:dyDescent="0.2">
      <c r="A28" s="62">
        <f t="shared" ref="A28:A38" si="22">C28+G28</f>
        <v>45234.416666666664</v>
      </c>
      <c r="B28" s="47" t="s">
        <v>60</v>
      </c>
      <c r="C28" s="62">
        <v>45234</v>
      </c>
      <c r="D28" s="62" t="s">
        <v>34</v>
      </c>
      <c r="E28" s="48">
        <v>0.57799999999999996</v>
      </c>
      <c r="F28" s="47"/>
      <c r="G28" s="67">
        <v>0.41666666666666669</v>
      </c>
      <c r="H28" s="49">
        <f>9.75+3.5</f>
        <v>13.25</v>
      </c>
      <c r="I28" s="49"/>
      <c r="J28" s="49">
        <v>460.94</v>
      </c>
      <c r="K28" s="49">
        <v>455.8</v>
      </c>
      <c r="L28" s="49">
        <f>J28-K28</f>
        <v>5.1399999999999864</v>
      </c>
      <c r="M28" s="50">
        <v>29.11589</v>
      </c>
      <c r="N28" s="50">
        <v>-0.1</v>
      </c>
      <c r="O28" s="50">
        <f>1000*LN(M28/1000+1)</f>
        <v>28.700074417021973</v>
      </c>
      <c r="P28" s="50">
        <f>N28+0.528*O28</f>
        <v>15.053639292187603</v>
      </c>
      <c r="Q28" s="63">
        <v>39.230400000000003</v>
      </c>
      <c r="R28" s="64">
        <f>(1000+Q28)/(1000+M28)</f>
        <v>1.009828348875266</v>
      </c>
      <c r="S28" s="50">
        <f>(EXP(P28/1000)-1)*1000</f>
        <v>15.16751602234967</v>
      </c>
      <c r="T28" s="63">
        <v>20.334</v>
      </c>
      <c r="U28" s="64">
        <f>(1000+T28)/(1000+S28)</f>
        <v>1.0050892920588059</v>
      </c>
      <c r="V28" s="65">
        <f>1000*LN(T28/1000+1)-0.528*(1000*LN(Q28/1000+1))</f>
        <v>-0.18764723097321578</v>
      </c>
      <c r="W28" s="50">
        <f>((1000+Q28)/$R$72)-1000</f>
        <v>29.357126137887008</v>
      </c>
      <c r="X28" s="50">
        <f>((1000+T28)/$U$72)-1000</f>
        <v>15.275986347232333</v>
      </c>
      <c r="Y28" s="50">
        <f>1000*(LN(X28/1000+1))</f>
        <v>15.160483264806498</v>
      </c>
      <c r="Z28" s="50">
        <f>1000*(LN(W28/1000+1))</f>
        <v>28.934457998541216</v>
      </c>
      <c r="AA28" s="66">
        <f>Y28-0.528*Z28</f>
        <v>-0.1169105584232657</v>
      </c>
      <c r="AB28" s="50">
        <f>AA28-$AA$72</f>
        <v>-1.4823311456749921E-2</v>
      </c>
      <c r="AC28" s="47"/>
      <c r="AD28" s="47"/>
      <c r="AE28" s="47"/>
      <c r="AF28" s="47"/>
      <c r="AG28" s="47"/>
      <c r="AH28" s="47"/>
      <c r="AI28" s="47"/>
    </row>
    <row r="29" spans="1:35" ht="14" x14ac:dyDescent="0.2">
      <c r="A29" s="62">
        <f t="shared" si="22"/>
        <v>45234.583333333336</v>
      </c>
      <c r="B29" s="47" t="s">
        <v>61</v>
      </c>
      <c r="C29" s="62">
        <v>45234</v>
      </c>
      <c r="D29" s="62" t="s">
        <v>34</v>
      </c>
      <c r="E29" s="48">
        <v>0.59199999999999997</v>
      </c>
      <c r="F29" s="47">
        <v>598</v>
      </c>
      <c r="G29" s="67">
        <v>0.58333333333333337</v>
      </c>
      <c r="H29" s="49">
        <f>3.5+12+2</f>
        <v>17.5</v>
      </c>
      <c r="I29" s="49"/>
      <c r="J29" s="49">
        <v>459.7</v>
      </c>
      <c r="K29" s="49">
        <v>456.12</v>
      </c>
      <c r="L29" s="49">
        <f>J29-K29</f>
        <v>3.5799999999999841</v>
      </c>
      <c r="M29" s="50">
        <v>29.11589</v>
      </c>
      <c r="N29" s="50">
        <v>-0.1</v>
      </c>
      <c r="O29" s="50">
        <f>1000*LN(M29/1000+1)</f>
        <v>28.700074417021973</v>
      </c>
      <c r="P29" s="50">
        <f>N29+0.528*O29</f>
        <v>15.053639292187603</v>
      </c>
      <c r="Q29" s="63">
        <v>39.202800000000003</v>
      </c>
      <c r="R29" s="64">
        <f>(1000+Q29)/(1000+M29)</f>
        <v>1.0098015297383076</v>
      </c>
      <c r="S29" s="50">
        <f>(EXP(P29/1000)-1)*1000</f>
        <v>15.16751602234967</v>
      </c>
      <c r="T29" s="63">
        <v>20.3538</v>
      </c>
      <c r="U29" s="64">
        <f>(1000+T29)/(1000+S29)</f>
        <v>1.0051087962289922</v>
      </c>
      <c r="V29" s="65">
        <f>1000*LN(T29/1000+1)-0.528*(1000*LN(Q29/1000+1))</f>
        <v>-0.15421913818029509</v>
      </c>
      <c r="W29" s="50">
        <f>((1000+Q29)/$R$72)-1000</f>
        <v>29.329788353425329</v>
      </c>
      <c r="X29" s="50">
        <f>((1000+T29)/$U$72)-1000</f>
        <v>15.295688194401691</v>
      </c>
      <c r="Y29" s="50">
        <f>1000*(LN(X29/1000+1))</f>
        <v>15.179888486909332</v>
      </c>
      <c r="Z29" s="50">
        <f>1000*(LN(W29/1000+1))</f>
        <v>28.907899531325139</v>
      </c>
      <c r="AA29" s="66">
        <f>Y29-0.528*Z29</f>
        <v>-8.3482465630341451E-2</v>
      </c>
      <c r="AB29" s="50">
        <f>AA29-$AA$72</f>
        <v>1.8604781336174325E-2</v>
      </c>
      <c r="AC29" s="47"/>
      <c r="AD29" s="47"/>
      <c r="AE29" s="47"/>
      <c r="AF29" s="47">
        <f t="shared" ref="AF29:AF65" si="23">F29/E29</f>
        <v>1010.1351351351352</v>
      </c>
      <c r="AG29" s="47"/>
      <c r="AH29" s="47"/>
      <c r="AI29" s="47"/>
    </row>
    <row r="30" spans="1:35" ht="14" x14ac:dyDescent="0.2">
      <c r="A30" s="62">
        <f t="shared" si="22"/>
        <v>45234.833333333336</v>
      </c>
      <c r="B30" s="47" t="s">
        <v>62</v>
      </c>
      <c r="C30" s="62">
        <v>45234</v>
      </c>
      <c r="D30" s="62" t="s">
        <v>53</v>
      </c>
      <c r="E30" s="48">
        <v>0.58199999999999996</v>
      </c>
      <c r="F30" s="47">
        <v>635</v>
      </c>
      <c r="G30" s="67">
        <v>0.83333333333333337</v>
      </c>
      <c r="H30" s="49">
        <v>23</v>
      </c>
      <c r="I30" s="49"/>
      <c r="J30" s="49">
        <v>461.54</v>
      </c>
      <c r="K30" s="49">
        <v>456.26</v>
      </c>
      <c r="L30" s="49">
        <f>J30-K30</f>
        <v>5.2800000000000296</v>
      </c>
      <c r="M30" s="50">
        <v>29.11589</v>
      </c>
      <c r="N30" s="50">
        <v>-0.1</v>
      </c>
      <c r="O30" s="50">
        <f>1000*LN(M30/1000+1)</f>
        <v>28.700074417021973</v>
      </c>
      <c r="P30" s="50">
        <f>N30+0.528*O30</f>
        <v>15.053639292187603</v>
      </c>
      <c r="Q30" s="63">
        <v>39.242400000000004</v>
      </c>
      <c r="R30" s="64">
        <f>(1000+Q30)/(1000+M30)</f>
        <v>1.0098400093695958</v>
      </c>
      <c r="S30" s="50">
        <f>(EXP(P30/1000)-1)*1000</f>
        <v>15.16751602234967</v>
      </c>
      <c r="T30" s="63">
        <v>20.292200000000001</v>
      </c>
      <c r="U30" s="64">
        <f>(1000+T30)/(1000+S30)</f>
        <v>1.0050481165884129</v>
      </c>
      <c r="V30" s="65">
        <f>1000*LN(T30/1000+1)-0.528*(1000*LN(Q30/1000+1))</f>
        <v>-0.23471183176149424</v>
      </c>
      <c r="W30" s="50">
        <f>((1000+Q30)/$R$72)-1000</f>
        <v>29.369012131131512</v>
      </c>
      <c r="X30" s="50">
        <f>((1000+T30)/$U$72)-1000</f>
        <v>15.234393558763827</v>
      </c>
      <c r="Y30" s="50">
        <f>1000*(LN(X30/1000+1))</f>
        <v>15.119515448157136</v>
      </c>
      <c r="Z30" s="50">
        <f>1000*(LN(W30/1000+1))</f>
        <v>28.946004938198215</v>
      </c>
      <c r="AA30" s="66">
        <f>Y30-0.528*Z30</f>
        <v>-0.16397515921152106</v>
      </c>
      <c r="AB30" s="50">
        <f>AA30-$AA$72</f>
        <v>-6.1887912245005283E-2</v>
      </c>
      <c r="AC30" s="47"/>
      <c r="AD30" s="47"/>
      <c r="AE30" s="47"/>
      <c r="AF30" s="47">
        <f t="shared" si="23"/>
        <v>1091.06529209622</v>
      </c>
      <c r="AG30" s="47"/>
      <c r="AH30" s="47"/>
      <c r="AI30" s="47"/>
    </row>
    <row r="31" spans="1:35" ht="14" hidden="1" x14ac:dyDescent="0.2">
      <c r="A31" s="62">
        <f t="shared" si="22"/>
        <v>45235</v>
      </c>
      <c r="B31" s="47" t="s">
        <v>63</v>
      </c>
      <c r="C31" s="62">
        <v>45235</v>
      </c>
      <c r="D31" s="62" t="s">
        <v>53</v>
      </c>
      <c r="E31" s="48">
        <v>0.59399999999999997</v>
      </c>
      <c r="F31" s="47">
        <v>459</v>
      </c>
      <c r="G31" s="47"/>
      <c r="H31" s="49">
        <v>18.5</v>
      </c>
      <c r="I31" s="49"/>
      <c r="J31" s="49"/>
      <c r="K31" s="49"/>
      <c r="L31" s="49"/>
      <c r="M31" s="50"/>
      <c r="N31" s="50"/>
      <c r="O31" s="50"/>
      <c r="P31" s="50"/>
      <c r="Q31" s="63"/>
      <c r="R31" s="64"/>
      <c r="S31" s="50"/>
      <c r="T31" s="63"/>
      <c r="U31" s="64"/>
      <c r="V31" s="65"/>
      <c r="W31" s="50"/>
      <c r="X31" s="50"/>
      <c r="Y31" s="50"/>
      <c r="Z31" s="50"/>
      <c r="AA31" s="66"/>
      <c r="AB31" s="50"/>
      <c r="AC31" s="47"/>
      <c r="AD31" s="47"/>
      <c r="AE31" s="47"/>
      <c r="AF31" s="47">
        <f t="shared" si="23"/>
        <v>772.72727272727275</v>
      </c>
      <c r="AG31" s="47"/>
      <c r="AH31" s="47"/>
      <c r="AI31" s="47"/>
    </row>
    <row r="32" spans="1:35" ht="14" x14ac:dyDescent="0.2">
      <c r="A32" s="62">
        <f t="shared" si="22"/>
        <v>45235.833333333336</v>
      </c>
      <c r="B32" s="47" t="s">
        <v>64</v>
      </c>
      <c r="C32" s="62">
        <v>45235</v>
      </c>
      <c r="D32" s="62" t="s">
        <v>53</v>
      </c>
      <c r="E32" s="48">
        <v>0.59599999999999997</v>
      </c>
      <c r="F32" s="47">
        <v>531</v>
      </c>
      <c r="G32" s="67">
        <v>0.83333333333333337</v>
      </c>
      <c r="H32" s="49">
        <v>19</v>
      </c>
      <c r="I32" s="49"/>
      <c r="J32" s="49">
        <v>458.43</v>
      </c>
      <c r="K32" s="49">
        <v>455.97</v>
      </c>
      <c r="L32" s="49">
        <f>J32-K32</f>
        <v>2.4599999999999795</v>
      </c>
      <c r="M32" s="50">
        <v>29.11589</v>
      </c>
      <c r="N32" s="50">
        <v>-0.1</v>
      </c>
      <c r="O32" s="50">
        <f>1000*LN(M32/1000+1)</f>
        <v>28.700074417021973</v>
      </c>
      <c r="P32" s="50">
        <f>N32+0.528*O32</f>
        <v>15.053639292187603</v>
      </c>
      <c r="Q32" s="63">
        <v>39.284100000000002</v>
      </c>
      <c r="R32" s="64">
        <f>(1000+Q32)/(1000+M32)</f>
        <v>1.0098805295873918</v>
      </c>
      <c r="S32" s="50">
        <f>(EXP(P32/1000)-1)*1000</f>
        <v>15.16751602234967</v>
      </c>
      <c r="T32" s="63">
        <v>20.366499999999998</v>
      </c>
      <c r="U32" s="64">
        <f>(1000+T32)/(1000+S32)</f>
        <v>1.0051213064795661</v>
      </c>
      <c r="V32" s="65">
        <f>1000*LN(T32/1000+1)-0.528*(1000*LN(Q32/1000+1))</f>
        <v>-0.18307798488368476</v>
      </c>
      <c r="W32" s="50">
        <f>((1000+Q32)/$R$72)-1000</f>
        <v>29.410315957655257</v>
      </c>
      <c r="X32" s="50">
        <f>((1000+T32)/$U$72)-1000</f>
        <v>15.308325237788154</v>
      </c>
      <c r="Y32" s="50">
        <f>1000*(LN(X32/1000+1))</f>
        <v>15.192335072558686</v>
      </c>
      <c r="Z32" s="50">
        <f>1000*(LN(W32/1000+1))</f>
        <v>28.986129516841405</v>
      </c>
      <c r="AA32" s="66">
        <f>Y32-0.528*Z32</f>
        <v>-0.11234131233357658</v>
      </c>
      <c r="AB32" s="50">
        <f>AA32-$AA$72</f>
        <v>-1.0254065367060805E-2</v>
      </c>
      <c r="AC32" s="47"/>
      <c r="AD32" s="47"/>
      <c r="AE32" s="47"/>
      <c r="AF32" s="47">
        <f t="shared" si="23"/>
        <v>890.93959731543623</v>
      </c>
      <c r="AG32" s="47"/>
      <c r="AH32" s="47"/>
      <c r="AI32" s="47"/>
    </row>
    <row r="33" spans="1:35" ht="14" x14ac:dyDescent="0.2">
      <c r="A33" s="62">
        <f t="shared" si="22"/>
        <v>45235.947916666664</v>
      </c>
      <c r="B33" s="47" t="s">
        <v>65</v>
      </c>
      <c r="C33" s="62">
        <v>45235</v>
      </c>
      <c r="D33" s="62" t="s">
        <v>41</v>
      </c>
      <c r="E33" s="48">
        <v>0.56399999999999995</v>
      </c>
      <c r="F33" s="47">
        <v>573</v>
      </c>
      <c r="G33" s="67">
        <v>0.94791666666666663</v>
      </c>
      <c r="H33" s="49">
        <f>12+1+10.75</f>
        <v>23.75</v>
      </c>
      <c r="I33" s="49"/>
      <c r="J33" s="49">
        <v>460.25</v>
      </c>
      <c r="K33" s="49">
        <v>455.81</v>
      </c>
      <c r="L33" s="49">
        <f>J33-K33</f>
        <v>4.4399999999999977</v>
      </c>
      <c r="M33" s="50">
        <v>29.11589</v>
      </c>
      <c r="N33" s="50">
        <v>-0.1</v>
      </c>
      <c r="O33" s="50">
        <f>1000*LN(M33/1000+1)</f>
        <v>28.700074417021973</v>
      </c>
      <c r="P33" s="50">
        <f>N33+0.528*O33</f>
        <v>15.053639292187603</v>
      </c>
      <c r="Q33" s="63">
        <v>39.197400000000002</v>
      </c>
      <c r="R33" s="64">
        <f>(1000+Q33)/(1000+M33)</f>
        <v>1.0097962825158593</v>
      </c>
      <c r="S33" s="50">
        <f>(EXP(P33/1000)-1)*1000</f>
        <v>15.16751602234967</v>
      </c>
      <c r="T33" s="63">
        <v>20.297599999999999</v>
      </c>
      <c r="U33" s="64">
        <f>(1000+T33)/(1000+S33)</f>
        <v>1.0050534359075545</v>
      </c>
      <c r="V33" s="65">
        <f>1000*LN(T33/1000+1)-0.528*(1000*LN(Q33/1000+1))</f>
        <v>-0.20655594076923123</v>
      </c>
      <c r="W33" s="50">
        <f>((1000+Q33)/$R$72)-1000</f>
        <v>29.324439656465302</v>
      </c>
      <c r="X33" s="50">
        <f>((1000+T33)/$U$72)-1000</f>
        <v>15.239766789810005</v>
      </c>
      <c r="Y33" s="50">
        <f>1000*(LN(X33/1000+1))</f>
        <v>15.124808035623913</v>
      </c>
      <c r="Z33" s="50">
        <f>1000*(LN(W33/1000+1))</f>
        <v>28.902703226975195</v>
      </c>
      <c r="AA33" s="66">
        <f>Y33-0.528*Z33</f>
        <v>-0.1358192682189916</v>
      </c>
      <c r="AB33" s="50">
        <f>AA33-$AA$72</f>
        <v>-3.3732021252475819E-2</v>
      </c>
      <c r="AC33" s="47"/>
      <c r="AD33" s="47"/>
      <c r="AE33" s="47"/>
      <c r="AF33" s="47">
        <f t="shared" si="23"/>
        <v>1015.9574468085108</v>
      </c>
      <c r="AG33" s="47"/>
      <c r="AH33" s="47"/>
      <c r="AI33" s="47"/>
    </row>
    <row r="34" spans="1:35" s="47" customFormat="1" ht="14" hidden="1" x14ac:dyDescent="0.2">
      <c r="A34" s="62">
        <f t="shared" si="22"/>
        <v>45237</v>
      </c>
      <c r="B34" s="47" t="s">
        <v>66</v>
      </c>
      <c r="C34" s="62">
        <v>45237</v>
      </c>
      <c r="D34" s="62" t="s">
        <v>44</v>
      </c>
      <c r="E34" s="48">
        <v>0.60199999999999998</v>
      </c>
      <c r="H34" s="49"/>
      <c r="I34" s="49"/>
      <c r="J34" s="49"/>
      <c r="K34" s="49"/>
      <c r="L34" s="49"/>
      <c r="M34" s="50"/>
      <c r="N34" s="50"/>
      <c r="O34" s="50"/>
      <c r="P34" s="50"/>
      <c r="Q34" s="63"/>
      <c r="R34" s="64"/>
      <c r="S34" s="50"/>
      <c r="T34" s="63"/>
      <c r="U34" s="64"/>
      <c r="V34" s="65"/>
      <c r="W34" s="50"/>
      <c r="X34" s="50"/>
      <c r="Y34" s="50"/>
      <c r="Z34" s="50"/>
      <c r="AA34" s="66"/>
      <c r="AB34" s="50"/>
    </row>
    <row r="35" spans="1:35" s="47" customFormat="1" ht="14" hidden="1" x14ac:dyDescent="0.2">
      <c r="A35" s="62">
        <f t="shared" si="22"/>
        <v>45237.534722222219</v>
      </c>
      <c r="B35" s="47" t="s">
        <v>67</v>
      </c>
      <c r="C35" s="62">
        <v>45237</v>
      </c>
      <c r="D35" s="62" t="s">
        <v>44</v>
      </c>
      <c r="E35" s="48"/>
      <c r="F35" s="47">
        <v>467</v>
      </c>
      <c r="G35" s="67">
        <v>0.53472222222222221</v>
      </c>
      <c r="H35" s="49"/>
      <c r="I35" s="49"/>
      <c r="J35" s="49"/>
      <c r="K35" s="49"/>
      <c r="L35" s="49"/>
      <c r="M35" s="50"/>
      <c r="N35" s="50"/>
      <c r="O35" s="50"/>
      <c r="P35" s="50"/>
      <c r="Q35" s="63"/>
      <c r="R35" s="64"/>
      <c r="S35" s="50"/>
      <c r="T35" s="63"/>
      <c r="U35" s="64"/>
      <c r="V35" s="65"/>
      <c r="W35" s="50"/>
      <c r="X35" s="50"/>
      <c r="Y35" s="50"/>
      <c r="Z35" s="50"/>
      <c r="AA35" s="66"/>
      <c r="AB35" s="50"/>
    </row>
    <row r="36" spans="1:35" ht="14" hidden="1" x14ac:dyDescent="0.2">
      <c r="A36" s="62">
        <f t="shared" si="22"/>
        <v>45237.395833333336</v>
      </c>
      <c r="B36" s="47" t="s">
        <v>68</v>
      </c>
      <c r="C36" s="62">
        <v>45237</v>
      </c>
      <c r="D36" s="47" t="s">
        <v>53</v>
      </c>
      <c r="E36" s="48">
        <v>0.57299999999999995</v>
      </c>
      <c r="F36" s="47">
        <v>388</v>
      </c>
      <c r="G36" s="67">
        <v>0.39583333333333331</v>
      </c>
      <c r="H36" s="49">
        <v>2.2999999999999998</v>
      </c>
      <c r="I36" s="49"/>
      <c r="J36" s="49"/>
      <c r="K36" s="49"/>
      <c r="L36" s="49"/>
      <c r="M36" s="50"/>
      <c r="N36" s="50"/>
      <c r="O36" s="50"/>
      <c r="P36" s="50"/>
      <c r="Q36" s="63"/>
      <c r="R36" s="64"/>
      <c r="S36" s="50"/>
      <c r="T36" s="63"/>
      <c r="U36" s="64"/>
      <c r="V36" s="65"/>
      <c r="W36" s="50"/>
      <c r="X36" s="50"/>
      <c r="Y36" s="50"/>
      <c r="Z36" s="50"/>
      <c r="AA36" s="66"/>
      <c r="AB36" s="50"/>
      <c r="AC36" s="47"/>
      <c r="AD36" s="47"/>
      <c r="AE36" s="47"/>
      <c r="AF36" s="47">
        <f t="shared" si="23"/>
        <v>677.13787085514844</v>
      </c>
      <c r="AG36" s="47"/>
      <c r="AH36" s="47"/>
      <c r="AI36" s="47"/>
    </row>
    <row r="37" spans="1:35" ht="14" hidden="1" x14ac:dyDescent="0.2">
      <c r="A37" s="62">
        <f t="shared" si="22"/>
        <v>45237</v>
      </c>
      <c r="B37" s="47" t="s">
        <v>69</v>
      </c>
      <c r="C37" s="62">
        <v>45237</v>
      </c>
      <c r="D37" s="62" t="s">
        <v>53</v>
      </c>
      <c r="E37" s="48">
        <v>0.59399999999999997</v>
      </c>
      <c r="F37" s="47"/>
      <c r="G37" s="47"/>
      <c r="H37" s="49"/>
      <c r="I37" s="49"/>
      <c r="J37" s="49"/>
      <c r="K37" s="49"/>
      <c r="L37" s="49"/>
      <c r="M37" s="50"/>
      <c r="N37" s="50"/>
      <c r="O37" s="50"/>
      <c r="P37" s="50"/>
      <c r="Q37" s="63"/>
      <c r="R37" s="64"/>
      <c r="S37" s="50"/>
      <c r="T37" s="63"/>
      <c r="U37" s="64"/>
      <c r="V37" s="65"/>
      <c r="W37" s="50"/>
      <c r="X37" s="50"/>
      <c r="Y37" s="50"/>
      <c r="Z37" s="50"/>
      <c r="AA37" s="66"/>
      <c r="AB37" s="50"/>
      <c r="AC37" s="47"/>
      <c r="AD37" s="47"/>
      <c r="AE37" s="47"/>
      <c r="AF37" s="47"/>
      <c r="AG37" s="47"/>
      <c r="AH37" s="47"/>
      <c r="AI37" s="47"/>
    </row>
    <row r="38" spans="1:35" ht="14" hidden="1" x14ac:dyDescent="0.2">
      <c r="A38" s="62">
        <f t="shared" si="22"/>
        <v>45237.923611111109</v>
      </c>
      <c r="B38" s="47" t="s">
        <v>70</v>
      </c>
      <c r="C38" s="62">
        <v>45237</v>
      </c>
      <c r="D38" s="62" t="s">
        <v>41</v>
      </c>
      <c r="E38" s="48">
        <v>0.57299999999999995</v>
      </c>
      <c r="F38" s="47">
        <v>399</v>
      </c>
      <c r="G38" s="67">
        <v>0.92361111111111116</v>
      </c>
      <c r="H38" s="49"/>
      <c r="I38" s="49"/>
      <c r="J38" s="49"/>
      <c r="K38" s="49"/>
      <c r="L38" s="49"/>
      <c r="M38" s="50"/>
      <c r="N38" s="50"/>
      <c r="O38" s="50"/>
      <c r="P38" s="50"/>
      <c r="Q38" s="63"/>
      <c r="R38" s="64"/>
      <c r="S38" s="50"/>
      <c r="T38" s="63"/>
      <c r="U38" s="64"/>
      <c r="V38" s="65"/>
      <c r="W38" s="50"/>
      <c r="X38" s="50"/>
      <c r="Y38" s="50"/>
      <c r="Z38" s="50"/>
      <c r="AA38" s="66"/>
      <c r="AB38" s="50"/>
      <c r="AC38" s="47"/>
      <c r="AD38" s="47" t="s">
        <v>71</v>
      </c>
      <c r="AE38" s="47"/>
      <c r="AF38" s="47">
        <f t="shared" si="23"/>
        <v>696.33507853403148</v>
      </c>
      <c r="AG38" s="47"/>
      <c r="AH38" s="47"/>
      <c r="AI38" s="47"/>
    </row>
    <row r="39" spans="1:35" ht="14" x14ac:dyDescent="0.2">
      <c r="A39" s="62">
        <f>C39+G39</f>
        <v>45238.847916666666</v>
      </c>
      <c r="B39" s="47" t="s">
        <v>72</v>
      </c>
      <c r="C39" s="62">
        <v>45238</v>
      </c>
      <c r="D39" s="62" t="s">
        <v>53</v>
      </c>
      <c r="E39" s="48">
        <v>0.72299999999999998</v>
      </c>
      <c r="F39" s="47">
        <v>532</v>
      </c>
      <c r="G39" s="67">
        <v>0.84791666666666676</v>
      </c>
      <c r="H39" s="49">
        <v>5.33</v>
      </c>
      <c r="I39" s="49"/>
      <c r="J39" s="49">
        <v>463.58</v>
      </c>
      <c r="K39" s="49">
        <v>456.61</v>
      </c>
      <c r="L39" s="49">
        <f t="shared" ref="L39:L55" si="24">J39-K39</f>
        <v>6.9699999999999704</v>
      </c>
      <c r="M39" s="50">
        <v>29.11589</v>
      </c>
      <c r="N39" s="50">
        <v>-0.1</v>
      </c>
      <c r="O39" s="50">
        <f t="shared" ref="O39:O44" si="25">1000*LN(M39/1000+1)</f>
        <v>28.700074417021973</v>
      </c>
      <c r="P39" s="50">
        <f t="shared" ref="P39:P44" si="26">N39+0.528*O39</f>
        <v>15.053639292187603</v>
      </c>
      <c r="Q39" s="63">
        <v>39.197400000000002</v>
      </c>
      <c r="R39" s="64">
        <f t="shared" ref="R39:R44" si="27">(1000+Q39)/(1000+M39)</f>
        <v>1.0097962825158593</v>
      </c>
      <c r="S39" s="50">
        <f t="shared" ref="S39:S44" si="28">(EXP(P39/1000)-1)*1000</f>
        <v>15.16751602234967</v>
      </c>
      <c r="T39" s="63">
        <v>20.297599999999999</v>
      </c>
      <c r="U39" s="64">
        <f t="shared" ref="U39:U46" si="29">(1000+T39)/(1000+S39)</f>
        <v>1.0050534359075545</v>
      </c>
      <c r="V39" s="65">
        <f t="shared" ref="V39:V46" si="30">1000*LN(T39/1000+1)-0.528*(1000*LN(Q39/1000+1))</f>
        <v>-0.20655594076923123</v>
      </c>
      <c r="W39" s="50">
        <f t="shared" ref="W39:W45" si="31">((1000+Q39)/$R$72)-1000</f>
        <v>29.324439656465302</v>
      </c>
      <c r="X39" s="50">
        <f t="shared" ref="X39:X45" si="32">((1000+T39)/$U$72)-1000</f>
        <v>15.239766789810005</v>
      </c>
      <c r="Y39" s="50">
        <f t="shared" ref="Y39:Y45" si="33">1000*(LN(X39/1000+1))</f>
        <v>15.124808035623913</v>
      </c>
      <c r="Z39" s="50">
        <f t="shared" ref="Z39:Z45" si="34">1000*(LN(W39/1000+1))</f>
        <v>28.902703226975195</v>
      </c>
      <c r="AA39" s="66">
        <f t="shared" ref="AA39:AA45" si="35">Y39-0.528*Z39</f>
        <v>-0.1358192682189916</v>
      </c>
      <c r="AB39" s="50">
        <f t="shared" ref="AB39:AB45" si="36">AA39-$AA$72</f>
        <v>-3.3732021252475819E-2</v>
      </c>
      <c r="AC39" s="47"/>
      <c r="AD39" s="47"/>
      <c r="AE39" s="47"/>
      <c r="AF39" s="47">
        <f t="shared" si="23"/>
        <v>735.82295988934993</v>
      </c>
      <c r="AG39" s="47"/>
      <c r="AH39" s="47"/>
      <c r="AI39" s="47"/>
    </row>
    <row r="40" spans="1:35" ht="14" x14ac:dyDescent="0.2">
      <c r="A40" s="62">
        <f t="shared" ref="A40:A55" si="37">C40+G40</f>
        <v>45239.083333333336</v>
      </c>
      <c r="B40" s="47" t="s">
        <v>73</v>
      </c>
      <c r="C40" s="62">
        <v>45239</v>
      </c>
      <c r="D40" s="62" t="s">
        <v>41</v>
      </c>
      <c r="E40" s="48">
        <v>0.80500000000000005</v>
      </c>
      <c r="F40" s="47">
        <v>519</v>
      </c>
      <c r="G40" s="67">
        <v>8.3333333333333329E-2</v>
      </c>
      <c r="H40" s="49">
        <v>11</v>
      </c>
      <c r="I40" s="49"/>
      <c r="J40" s="49">
        <v>463.37</v>
      </c>
      <c r="K40" s="49">
        <v>456.54</v>
      </c>
      <c r="L40" s="49">
        <f t="shared" si="24"/>
        <v>6.8299999999999841</v>
      </c>
      <c r="M40" s="50">
        <v>29.11589</v>
      </c>
      <c r="N40" s="50">
        <v>-0.1</v>
      </c>
      <c r="O40" s="50">
        <f t="shared" si="25"/>
        <v>28.700074417021973</v>
      </c>
      <c r="P40" s="50">
        <f t="shared" si="26"/>
        <v>15.053639292187603</v>
      </c>
      <c r="Q40" s="63">
        <v>38.998699999999999</v>
      </c>
      <c r="R40" s="64">
        <f t="shared" si="27"/>
        <v>1.009603204163916</v>
      </c>
      <c r="S40" s="50">
        <f t="shared" si="28"/>
        <v>15.16751602234967</v>
      </c>
      <c r="T40" s="63">
        <v>20.216799999999999</v>
      </c>
      <c r="U40" s="64">
        <f t="shared" si="29"/>
        <v>1.0049738431322492</v>
      </c>
      <c r="V40" s="65">
        <f t="shared" si="30"/>
        <v>-0.18478563173925977</v>
      </c>
      <c r="W40" s="50">
        <f t="shared" si="31"/>
        <v>29.127627418328757</v>
      </c>
      <c r="X40" s="50">
        <f t="shared" si="32"/>
        <v>15.159367332674606</v>
      </c>
      <c r="Y40" s="50">
        <f t="shared" si="33"/>
        <v>15.045612319051447</v>
      </c>
      <c r="Z40" s="50">
        <f t="shared" si="34"/>
        <v>28.71147969363733</v>
      </c>
      <c r="AA40" s="66">
        <f t="shared" si="35"/>
        <v>-0.11404895918906455</v>
      </c>
      <c r="AB40" s="50">
        <f t="shared" si="36"/>
        <v>-1.196171222254877E-2</v>
      </c>
      <c r="AC40" s="47"/>
      <c r="AD40" s="47" t="s">
        <v>74</v>
      </c>
      <c r="AE40" s="47"/>
      <c r="AF40" s="47">
        <f t="shared" si="23"/>
        <v>644.72049689440985</v>
      </c>
      <c r="AG40" s="47"/>
      <c r="AH40" s="47"/>
      <c r="AI40" s="47"/>
    </row>
    <row r="41" spans="1:35" ht="14" x14ac:dyDescent="0.2">
      <c r="A41" s="62">
        <f t="shared" si="37"/>
        <v>45239.4375</v>
      </c>
      <c r="B41" s="47" t="s">
        <v>75</v>
      </c>
      <c r="C41" s="62">
        <v>45239</v>
      </c>
      <c r="D41" s="62" t="s">
        <v>44</v>
      </c>
      <c r="E41" s="48">
        <v>0.80600000000000005</v>
      </c>
      <c r="F41" s="47">
        <v>480</v>
      </c>
      <c r="G41" s="67">
        <v>0.4375</v>
      </c>
      <c r="H41" s="49"/>
      <c r="I41" s="49"/>
      <c r="J41" s="49">
        <v>457.74</v>
      </c>
      <c r="K41" s="49">
        <v>456.46</v>
      </c>
      <c r="L41" s="49">
        <f t="shared" si="24"/>
        <v>1.2800000000000296</v>
      </c>
      <c r="M41" s="50">
        <v>29.11589</v>
      </c>
      <c r="N41" s="50">
        <v>-0.1</v>
      </c>
      <c r="O41" s="50">
        <f t="shared" si="25"/>
        <v>28.700074417021973</v>
      </c>
      <c r="P41" s="50">
        <f t="shared" si="26"/>
        <v>15.053639292187603</v>
      </c>
      <c r="Q41" s="63">
        <v>38.744599999999998</v>
      </c>
      <c r="R41" s="64">
        <f t="shared" si="27"/>
        <v>1.0093562931964835</v>
      </c>
      <c r="S41" s="50">
        <f t="shared" si="28"/>
        <v>15.16751602234967</v>
      </c>
      <c r="T41" s="63">
        <v>20.116399999999999</v>
      </c>
      <c r="U41" s="64">
        <f t="shared" si="29"/>
        <v>1.004874943198578</v>
      </c>
      <c r="V41" s="65">
        <f t="shared" si="30"/>
        <v>-0.15405619801607173</v>
      </c>
      <c r="W41" s="50">
        <f t="shared" si="31"/>
        <v>28.875941511380915</v>
      </c>
      <c r="X41" s="50">
        <f t="shared" si="32"/>
        <v>15.059465036927008</v>
      </c>
      <c r="Y41" s="50">
        <f t="shared" si="33"/>
        <v>14.947197020921465</v>
      </c>
      <c r="Z41" s="50">
        <f t="shared" si="34"/>
        <v>28.466887398461118</v>
      </c>
      <c r="AA41" s="66">
        <f t="shared" si="35"/>
        <v>-8.3319525466006183E-2</v>
      </c>
      <c r="AB41" s="50">
        <f t="shared" si="36"/>
        <v>1.8767721500509593E-2</v>
      </c>
      <c r="AC41" s="47"/>
      <c r="AD41" s="47"/>
      <c r="AE41" s="47"/>
      <c r="AF41" s="47">
        <f t="shared" si="23"/>
        <v>595.53349875930519</v>
      </c>
      <c r="AG41" s="47"/>
      <c r="AH41" s="47"/>
      <c r="AI41" s="47"/>
    </row>
    <row r="42" spans="1:35" ht="14" x14ac:dyDescent="0.2">
      <c r="A42" s="62">
        <f t="shared" si="37"/>
        <v>45239.597222222219</v>
      </c>
      <c r="B42" s="47" t="s">
        <v>76</v>
      </c>
      <c r="C42" s="62">
        <v>45239</v>
      </c>
      <c r="D42" s="62" t="s">
        <v>77</v>
      </c>
      <c r="E42" s="48">
        <v>0.755</v>
      </c>
      <c r="F42" s="47"/>
      <c r="G42" s="67">
        <v>0.59722222222222221</v>
      </c>
      <c r="H42" s="49"/>
      <c r="I42" s="49"/>
      <c r="J42" s="49">
        <v>463.13</v>
      </c>
      <c r="K42" s="49">
        <v>456.47</v>
      </c>
      <c r="L42" s="49">
        <f t="shared" si="24"/>
        <v>6.6599999999999682</v>
      </c>
      <c r="M42" s="50">
        <v>29.11589</v>
      </c>
      <c r="N42" s="50">
        <v>-0.1</v>
      </c>
      <c r="O42" s="50">
        <f t="shared" si="25"/>
        <v>28.700074417021973</v>
      </c>
      <c r="P42" s="50">
        <f t="shared" si="26"/>
        <v>15.053639292187603</v>
      </c>
      <c r="Q42" s="63">
        <v>39.479300000000002</v>
      </c>
      <c r="R42" s="64">
        <f t="shared" si="27"/>
        <v>1.0100702069618224</v>
      </c>
      <c r="S42" s="50">
        <f t="shared" si="28"/>
        <v>15.16751602234967</v>
      </c>
      <c r="T42" s="63">
        <v>20.430299999999999</v>
      </c>
      <c r="U42" s="64">
        <f t="shared" si="29"/>
        <v>1.0051841532501662</v>
      </c>
      <c r="V42" s="65">
        <f t="shared" si="30"/>
        <v>-0.2197138782000323</v>
      </c>
      <c r="W42" s="50">
        <f t="shared" si="31"/>
        <v>29.603661447762306</v>
      </c>
      <c r="X42" s="50">
        <f t="shared" si="32"/>
        <v>15.371808967556035</v>
      </c>
      <c r="Y42" s="50">
        <f t="shared" si="33"/>
        <v>15.254859670814499</v>
      </c>
      <c r="Z42" s="50">
        <f t="shared" si="34"/>
        <v>29.173933478152048</v>
      </c>
      <c r="AA42" s="66">
        <f t="shared" si="35"/>
        <v>-0.14897720564978378</v>
      </c>
      <c r="AB42" s="50">
        <f t="shared" si="36"/>
        <v>-4.6889958683268007E-2</v>
      </c>
      <c r="AC42" s="47"/>
      <c r="AD42" s="47"/>
      <c r="AE42" s="47"/>
      <c r="AF42" s="47"/>
      <c r="AG42" s="47"/>
      <c r="AH42" s="47"/>
      <c r="AI42" s="47"/>
    </row>
    <row r="43" spans="1:35" ht="14" x14ac:dyDescent="0.2">
      <c r="A43" s="62">
        <f t="shared" si="37"/>
        <v>45239.875</v>
      </c>
      <c r="B43" s="47" t="s">
        <v>78</v>
      </c>
      <c r="C43" s="62">
        <v>45239</v>
      </c>
      <c r="D43" s="62" t="s">
        <v>79</v>
      </c>
      <c r="E43" s="48">
        <v>0.80900000000000005</v>
      </c>
      <c r="F43" s="47">
        <v>609</v>
      </c>
      <c r="G43" s="67">
        <v>0.875</v>
      </c>
      <c r="H43" s="49">
        <v>8.5</v>
      </c>
      <c r="I43" s="49"/>
      <c r="J43" s="49">
        <v>458.96</v>
      </c>
      <c r="K43" s="49">
        <v>456.64</v>
      </c>
      <c r="L43" s="49">
        <f t="shared" si="24"/>
        <v>2.3199999999999932</v>
      </c>
      <c r="M43" s="50">
        <v>29.11589</v>
      </c>
      <c r="N43" s="50">
        <v>-0.1</v>
      </c>
      <c r="O43" s="50">
        <f t="shared" si="25"/>
        <v>28.700074417021973</v>
      </c>
      <c r="P43" s="50">
        <f t="shared" si="26"/>
        <v>15.053639292187603</v>
      </c>
      <c r="Q43" s="63">
        <v>38.908200000000001</v>
      </c>
      <c r="R43" s="64">
        <f t="shared" si="27"/>
        <v>1.0095152646025125</v>
      </c>
      <c r="S43" s="50">
        <f t="shared" si="28"/>
        <v>15.16751602234967</v>
      </c>
      <c r="T43" s="63">
        <v>20.203700000000001</v>
      </c>
      <c r="U43" s="64">
        <f t="shared" si="29"/>
        <v>1.0049609388580352</v>
      </c>
      <c r="V43" s="65">
        <f t="shared" si="30"/>
        <v>-0.1516336862417873</v>
      </c>
      <c r="W43" s="50">
        <f t="shared" si="31"/>
        <v>29.037987219278193</v>
      </c>
      <c r="X43" s="50">
        <f t="shared" si="32"/>
        <v>15.146332272173709</v>
      </c>
      <c r="Y43" s="50">
        <f t="shared" si="33"/>
        <v>15.032771828573877</v>
      </c>
      <c r="Z43" s="50">
        <f t="shared" si="34"/>
        <v>28.624372807320864</v>
      </c>
      <c r="AA43" s="66">
        <f t="shared" si="35"/>
        <v>-8.0897013691540565E-2</v>
      </c>
      <c r="AB43" s="50">
        <f t="shared" si="36"/>
        <v>2.1190233274975212E-2</v>
      </c>
      <c r="AC43" s="47"/>
      <c r="AD43" s="47"/>
      <c r="AE43" s="47"/>
      <c r="AF43" s="47">
        <f t="shared" si="23"/>
        <v>752.78121137206426</v>
      </c>
      <c r="AG43" s="47"/>
      <c r="AH43" s="47"/>
      <c r="AI43" s="47"/>
    </row>
    <row r="44" spans="1:35" ht="14" x14ac:dyDescent="0.2">
      <c r="A44" s="62">
        <f t="shared" si="37"/>
        <v>45240.135416666664</v>
      </c>
      <c r="B44" s="47" t="s">
        <v>80</v>
      </c>
      <c r="C44" s="62">
        <v>45240</v>
      </c>
      <c r="D44" s="62" t="s">
        <v>41</v>
      </c>
      <c r="E44" s="48">
        <v>0.82599999999999996</v>
      </c>
      <c r="F44" s="47">
        <v>691</v>
      </c>
      <c r="G44" s="67">
        <v>0.13541666666666666</v>
      </c>
      <c r="H44" s="49">
        <v>15.75</v>
      </c>
      <c r="I44" s="49"/>
      <c r="J44" s="49">
        <v>462.51</v>
      </c>
      <c r="K44" s="49">
        <v>456.66</v>
      </c>
      <c r="L44" s="49">
        <f t="shared" si="24"/>
        <v>5.8499999999999659</v>
      </c>
      <c r="M44" s="50">
        <v>29.11589</v>
      </c>
      <c r="N44" s="50">
        <v>-0.1</v>
      </c>
      <c r="O44" s="50">
        <f t="shared" si="25"/>
        <v>28.700074417021973</v>
      </c>
      <c r="P44" s="50">
        <f t="shared" si="26"/>
        <v>15.053639292187603</v>
      </c>
      <c r="Q44" s="63">
        <v>39.172899999999998</v>
      </c>
      <c r="R44" s="64">
        <f t="shared" si="27"/>
        <v>1.0097724756732693</v>
      </c>
      <c r="S44" s="50">
        <f t="shared" si="28"/>
        <v>15.16751602234967</v>
      </c>
      <c r="T44" s="63">
        <v>20.353400000000001</v>
      </c>
      <c r="U44" s="64">
        <f t="shared" si="29"/>
        <v>1.005108402205352</v>
      </c>
      <c r="V44" s="65">
        <f t="shared" si="30"/>
        <v>-0.1394192956107112</v>
      </c>
      <c r="W44" s="50">
        <f t="shared" si="31"/>
        <v>29.300172420258377</v>
      </c>
      <c r="X44" s="50">
        <f t="shared" si="32"/>
        <v>15.295290177287143</v>
      </c>
      <c r="Y44" s="50">
        <f t="shared" si="33"/>
        <v>15.179496465947121</v>
      </c>
      <c r="Z44" s="50">
        <f t="shared" si="34"/>
        <v>28.879127062514975</v>
      </c>
      <c r="AA44" s="66">
        <f t="shared" si="35"/>
        <v>-6.8682623060785986E-2</v>
      </c>
      <c r="AB44" s="50">
        <f t="shared" si="36"/>
        <v>3.3404623905729791E-2</v>
      </c>
      <c r="AC44" s="47"/>
      <c r="AD44" s="47"/>
      <c r="AE44" s="47"/>
      <c r="AF44" s="47">
        <f t="shared" si="23"/>
        <v>836.56174334140439</v>
      </c>
      <c r="AG44" s="47"/>
      <c r="AH44" s="47"/>
      <c r="AI44" s="47"/>
    </row>
    <row r="45" spans="1:35" ht="14" x14ac:dyDescent="0.2">
      <c r="A45" s="62">
        <f t="shared" si="37"/>
        <v>45240.621527777781</v>
      </c>
      <c r="B45" s="47" t="s">
        <v>81</v>
      </c>
      <c r="C45" s="62">
        <v>45240</v>
      </c>
      <c r="D45" s="62" t="s">
        <v>53</v>
      </c>
      <c r="E45" s="48">
        <v>0.86199999999999999</v>
      </c>
      <c r="F45" s="47">
        <v>717</v>
      </c>
      <c r="G45" s="67">
        <v>0.62152777777777779</v>
      </c>
      <c r="H45" s="49">
        <v>27.5</v>
      </c>
      <c r="I45" s="49"/>
      <c r="J45" s="49">
        <v>451.05</v>
      </c>
      <c r="K45" s="49">
        <v>456.63</v>
      </c>
      <c r="L45" s="49">
        <f t="shared" si="24"/>
        <v>-5.5799999999999841</v>
      </c>
      <c r="M45" s="50">
        <v>29.11589</v>
      </c>
      <c r="N45" s="50">
        <v>-0.1</v>
      </c>
      <c r="O45" s="50">
        <f t="shared" ref="O45:O46" si="38">1000*LN(M45/1000+1)</f>
        <v>28.700074417021973</v>
      </c>
      <c r="P45" s="50">
        <f t="shared" ref="P45:P46" si="39">N45+0.528*O45</f>
        <v>15.053639292187603</v>
      </c>
      <c r="Q45" s="63">
        <v>39.180799999999998</v>
      </c>
      <c r="R45" s="64">
        <f t="shared" ref="R45:R46" si="40">(1000+Q45)/(1000+M45)</f>
        <v>1.00978015216537</v>
      </c>
      <c r="S45" s="50">
        <f t="shared" ref="S45:S46" si="41">(EXP(P45/1000)-1)*1000</f>
        <v>15.16751602234967</v>
      </c>
      <c r="T45" s="63">
        <v>20.3262</v>
      </c>
      <c r="U45" s="64">
        <f t="shared" si="29"/>
        <v>1.0050816085978236</v>
      </c>
      <c r="V45" s="65">
        <f t="shared" si="30"/>
        <v>-0.17009102780803786</v>
      </c>
      <c r="W45" s="50">
        <f t="shared" si="31"/>
        <v>29.307997365810706</v>
      </c>
      <c r="X45" s="50">
        <f t="shared" si="32"/>
        <v>15.268225013498977</v>
      </c>
      <c r="Y45" s="50">
        <f t="shared" si="33"/>
        <v>15.152838679980547</v>
      </c>
      <c r="Z45" s="50">
        <f t="shared" si="34"/>
        <v>28.886729233406246</v>
      </c>
      <c r="AA45" s="66">
        <f t="shared" si="35"/>
        <v>-9.9354355257950999E-2</v>
      </c>
      <c r="AB45" s="50">
        <f t="shared" si="36"/>
        <v>2.7328917085647775E-3</v>
      </c>
      <c r="AC45" s="47"/>
      <c r="AD45" s="47"/>
      <c r="AE45" s="47"/>
      <c r="AF45" s="47">
        <f t="shared" si="23"/>
        <v>831.7865429234339</v>
      </c>
      <c r="AG45" s="47"/>
      <c r="AH45" s="47"/>
      <c r="AI45" s="47"/>
    </row>
    <row r="46" spans="1:35" ht="14" x14ac:dyDescent="0.2">
      <c r="A46" s="62">
        <f t="shared" si="37"/>
        <v>45240.927083333336</v>
      </c>
      <c r="B46" s="47" t="s">
        <v>82</v>
      </c>
      <c r="C46" s="62">
        <v>45240</v>
      </c>
      <c r="D46" s="62" t="s">
        <v>83</v>
      </c>
      <c r="E46" s="48">
        <v>0.88500000000000001</v>
      </c>
      <c r="F46" s="47">
        <v>647</v>
      </c>
      <c r="G46" s="67">
        <v>0.92708333333333337</v>
      </c>
      <c r="H46" s="49">
        <v>35</v>
      </c>
      <c r="I46" s="49"/>
      <c r="J46" s="49">
        <v>454.08</v>
      </c>
      <c r="K46" s="49">
        <v>456.29</v>
      </c>
      <c r="L46" s="49">
        <f t="shared" si="24"/>
        <v>-2.2100000000000364</v>
      </c>
      <c r="M46" s="50">
        <v>29.11589</v>
      </c>
      <c r="N46" s="50">
        <v>-0.1</v>
      </c>
      <c r="O46" s="50">
        <f t="shared" si="38"/>
        <v>28.700074417021973</v>
      </c>
      <c r="P46" s="50">
        <f t="shared" si="39"/>
        <v>15.053639292187603</v>
      </c>
      <c r="Q46" s="63">
        <v>38.609000000000002</v>
      </c>
      <c r="R46" s="64">
        <f t="shared" si="40"/>
        <v>1.0092245296105571</v>
      </c>
      <c r="S46" s="50">
        <f t="shared" si="41"/>
        <v>15.16751602234967</v>
      </c>
      <c r="T46" s="63">
        <v>20.0214</v>
      </c>
      <c r="U46" s="64">
        <f t="shared" si="29"/>
        <v>1.004781362584048</v>
      </c>
      <c r="V46" s="65">
        <f t="shared" si="30"/>
        <v>-0.1782563838998712</v>
      </c>
      <c r="W46" s="50">
        <f t="shared" ref="W46" si="42">((1000+Q46)/$R$72)-1000</f>
        <v>28.741629787720512</v>
      </c>
      <c r="X46" s="50">
        <f t="shared" ref="X46" si="43">((1000+T46)/$U$72)-1000</f>
        <v>14.964935972225589</v>
      </c>
      <c r="Y46" s="50">
        <f t="shared" ref="Y46" si="44">1000*(LN(X46/1000+1))</f>
        <v>14.854066056857434</v>
      </c>
      <c r="Z46" s="50">
        <f t="shared" ref="Z46" si="45">1000*(LN(W46/1000+1))</f>
        <v>28.336336682210906</v>
      </c>
      <c r="AA46" s="66">
        <f t="shared" ref="AA46" si="46">Y46-0.528*Z46</f>
        <v>-0.10751971134992466</v>
      </c>
      <c r="AB46" s="50">
        <f t="shared" ref="AB46" si="47">AA46-$AA$72</f>
        <v>-5.4324643834088859E-3</v>
      </c>
      <c r="AC46" s="47"/>
      <c r="AD46" s="47"/>
      <c r="AE46" s="47"/>
      <c r="AF46" s="47">
        <f t="shared" si="23"/>
        <v>731.07344632768365</v>
      </c>
      <c r="AG46" s="47"/>
      <c r="AH46" s="47"/>
      <c r="AI46" s="47"/>
    </row>
    <row r="47" spans="1:35" ht="14" x14ac:dyDescent="0.2">
      <c r="A47" s="62">
        <f t="shared" si="37"/>
        <v>45241.208333333336</v>
      </c>
      <c r="B47" s="47" t="s">
        <v>84</v>
      </c>
      <c r="C47" s="62">
        <v>45241</v>
      </c>
      <c r="D47" s="62" t="s">
        <v>41</v>
      </c>
      <c r="E47" s="48">
        <v>0.82599999999999996</v>
      </c>
      <c r="F47" s="47">
        <v>570</v>
      </c>
      <c r="G47" s="67">
        <v>0.20833333333333334</v>
      </c>
      <c r="H47" s="49">
        <v>41.75</v>
      </c>
      <c r="I47" s="49"/>
      <c r="J47" s="49">
        <v>463.14</v>
      </c>
      <c r="K47" s="49">
        <v>456.58</v>
      </c>
      <c r="L47" s="49">
        <f t="shared" si="24"/>
        <v>6.5600000000000023</v>
      </c>
      <c r="M47" s="50">
        <v>29.11589</v>
      </c>
      <c r="N47" s="50">
        <v>-0.1</v>
      </c>
      <c r="O47" s="50">
        <f t="shared" ref="O47" si="48">1000*LN(M47/1000+1)</f>
        <v>28.700074417021973</v>
      </c>
      <c r="P47" s="50">
        <f t="shared" ref="P47" si="49">N47+0.528*O47</f>
        <v>15.053639292187603</v>
      </c>
      <c r="Q47" s="63">
        <v>38.377800000000001</v>
      </c>
      <c r="R47" s="64">
        <f t="shared" ref="R47:R49" si="50">(1000+Q47)/(1000+M47)</f>
        <v>1.0089998707531374</v>
      </c>
      <c r="S47" s="50">
        <f t="shared" ref="S47:S49" si="51">(EXP(P47/1000)-1)*1000</f>
        <v>15.16751602234967</v>
      </c>
      <c r="T47" s="63">
        <v>19.919799999999999</v>
      </c>
      <c r="U47" s="64">
        <f t="shared" ref="U47:U57" si="52">(1000+T47)/(1000+S47)</f>
        <v>1.0046812805794563</v>
      </c>
      <c r="V47" s="65">
        <f t="shared" ref="V47:V50" si="53">1000*LN(T47/1000+1)-0.528*(1000*LN(Q47/1000+1))</f>
        <v>-0.16031834878046425</v>
      </c>
      <c r="W47" s="50">
        <f>((1000+Q47)/$R$72)-1000</f>
        <v>28.512626317880631</v>
      </c>
      <c r="X47" s="50">
        <f>((1000+T47)/$U$72)-1000</f>
        <v>14.863839625134574</v>
      </c>
      <c r="Y47" s="50">
        <f t="shared" ref="Y47:Y50" si="54">1000*(LN(X47/1000+1))</f>
        <v>14.754455342505707</v>
      </c>
      <c r="Z47" s="50">
        <f t="shared" ref="Z47:Z50" si="55">1000*(LN(W47/1000+1))</f>
        <v>28.113706474878757</v>
      </c>
      <c r="AA47" s="66">
        <f t="shared" ref="AA47" si="56">Y47-0.528*Z47</f>
        <v>-8.9581676230277907E-2</v>
      </c>
      <c r="AB47" s="50">
        <f t="shared" ref="AB47" si="57">AA47-$AA$72</f>
        <v>1.250557073623787E-2</v>
      </c>
      <c r="AC47" s="47"/>
      <c r="AD47" s="47"/>
      <c r="AE47" s="47"/>
      <c r="AF47" s="47">
        <f t="shared" si="23"/>
        <v>690.07263922518166</v>
      </c>
      <c r="AG47" s="47"/>
      <c r="AH47" s="47"/>
      <c r="AI47" s="47"/>
    </row>
    <row r="48" spans="1:35" ht="14" x14ac:dyDescent="0.2">
      <c r="A48" s="62">
        <f t="shared" si="37"/>
        <v>45241.267361111109</v>
      </c>
      <c r="B48" s="47" t="s">
        <v>85</v>
      </c>
      <c r="C48" s="62">
        <v>45241</v>
      </c>
      <c r="D48" s="62" t="s">
        <v>44</v>
      </c>
      <c r="E48" s="48">
        <v>0.75800000000000001</v>
      </c>
      <c r="F48" s="47">
        <v>582</v>
      </c>
      <c r="G48" s="67">
        <v>0.2673611111111111</v>
      </c>
      <c r="H48" s="49"/>
      <c r="I48" s="49"/>
      <c r="J48" s="49">
        <v>460</v>
      </c>
      <c r="K48" s="49">
        <v>456.6</v>
      </c>
      <c r="L48" s="49">
        <f t="shared" si="24"/>
        <v>3.3999999999999773</v>
      </c>
      <c r="M48" s="50">
        <v>29.11589</v>
      </c>
      <c r="N48" s="50">
        <v>-0.1</v>
      </c>
      <c r="O48" s="50">
        <f t="shared" ref="O48" si="58">1000*LN(M48/1000+1)</f>
        <v>28.700074417021973</v>
      </c>
      <c r="P48" s="50">
        <f t="shared" ref="P48" si="59">N48+0.528*O48</f>
        <v>15.053639292187603</v>
      </c>
      <c r="Q48" s="63">
        <v>38.9435</v>
      </c>
      <c r="R48" s="64">
        <f t="shared" si="50"/>
        <v>1.0095495658899991</v>
      </c>
      <c r="S48" s="50">
        <f t="shared" si="51"/>
        <v>15.16751602234967</v>
      </c>
      <c r="T48" s="63">
        <v>20.244</v>
      </c>
      <c r="U48" s="64">
        <f t="shared" si="52"/>
        <v>1.0050006367397779</v>
      </c>
      <c r="V48" s="65">
        <f t="shared" si="53"/>
        <v>-0.13007261888573396</v>
      </c>
      <c r="W48" s="50">
        <f>((1000+Q48)/$R$72)-1000</f>
        <v>29.072951849405172</v>
      </c>
      <c r="X48" s="50">
        <f>((1000+T48)/$U$72)-1000</f>
        <v>15.186432496462771</v>
      </c>
      <c r="Y48" s="50">
        <f t="shared" si="54"/>
        <v>15.072272963550549</v>
      </c>
      <c r="Z48" s="50">
        <f t="shared" si="55"/>
        <v>28.658350208117717</v>
      </c>
      <c r="AA48" s="66">
        <f>Y48-0.528*Z48</f>
        <v>-5.9335946335606238E-2</v>
      </c>
      <c r="AB48" s="50">
        <f>AA48-$AA$72</f>
        <v>4.2751300630909539E-2</v>
      </c>
      <c r="AC48" s="47"/>
      <c r="AD48" s="47"/>
      <c r="AE48" s="47"/>
      <c r="AF48" s="47">
        <f t="shared" si="23"/>
        <v>767.81002638522432</v>
      </c>
      <c r="AG48" s="47"/>
      <c r="AH48" s="47"/>
      <c r="AI48" s="47"/>
    </row>
    <row r="49" spans="1:35" ht="14" x14ac:dyDescent="0.2">
      <c r="A49" s="62">
        <f t="shared" si="37"/>
        <v>45241.520833333336</v>
      </c>
      <c r="B49" s="47" t="s">
        <v>86</v>
      </c>
      <c r="C49" s="62">
        <v>45241</v>
      </c>
      <c r="D49" s="62" t="s">
        <v>44</v>
      </c>
      <c r="E49" s="48">
        <v>0.75700000000000001</v>
      </c>
      <c r="F49" s="47">
        <v>604</v>
      </c>
      <c r="G49" s="67">
        <v>0.52083333333333337</v>
      </c>
      <c r="H49" s="49"/>
      <c r="I49" s="49"/>
      <c r="J49" s="49">
        <v>458.19</v>
      </c>
      <c r="K49" s="49">
        <v>456.39</v>
      </c>
      <c r="L49" s="49">
        <f t="shared" si="24"/>
        <v>1.8000000000000114</v>
      </c>
      <c r="M49" s="50">
        <v>29.11589</v>
      </c>
      <c r="N49" s="50">
        <v>-0.1</v>
      </c>
      <c r="O49" s="50">
        <f t="shared" ref="O49" si="60">1000*LN(M49/1000+1)</f>
        <v>28.700074417021973</v>
      </c>
      <c r="P49" s="50">
        <f t="shared" ref="P49" si="61">N49+0.528*O49</f>
        <v>15.053639292187603</v>
      </c>
      <c r="Q49" s="63">
        <v>39.009500000000003</v>
      </c>
      <c r="R49" s="64">
        <f t="shared" si="50"/>
        <v>1.0096136986088127</v>
      </c>
      <c r="S49" s="50">
        <f t="shared" si="51"/>
        <v>15.16751602234967</v>
      </c>
      <c r="T49" s="63">
        <v>20.247199999999999</v>
      </c>
      <c r="U49" s="64">
        <f t="shared" si="52"/>
        <v>1.0050037889288987</v>
      </c>
      <c r="V49" s="65">
        <f t="shared" si="53"/>
        <v>-0.16047682008727548</v>
      </c>
      <c r="W49" s="50">
        <f>((1000+Q49)/$R$72)-1000</f>
        <v>29.138324812248584</v>
      </c>
      <c r="X49" s="50">
        <f>((1000+T49)/$U$72)-1000</f>
        <v>15.189616633379046</v>
      </c>
      <c r="Y49" s="50">
        <f t="shared" si="54"/>
        <v>15.075409463232688</v>
      </c>
      <c r="Z49" s="50">
        <f t="shared" si="55"/>
        <v>28.721874262821444</v>
      </c>
      <c r="AA49" s="66">
        <f>Y49-0.528*Z49</f>
        <v>-8.9740147537035853E-2</v>
      </c>
      <c r="AB49" s="50">
        <f>AA49-$AA$72</f>
        <v>1.2347099429479924E-2</v>
      </c>
      <c r="AC49" s="47"/>
      <c r="AD49" s="47"/>
      <c r="AE49" s="47"/>
      <c r="AF49" s="47">
        <f t="shared" si="23"/>
        <v>797.88639365918095</v>
      </c>
      <c r="AG49" s="47"/>
      <c r="AH49" s="47"/>
      <c r="AI49" s="47"/>
    </row>
    <row r="50" spans="1:35" ht="14" x14ac:dyDescent="0.2">
      <c r="A50" s="62">
        <f t="shared" si="37"/>
        <v>45241.795138888891</v>
      </c>
      <c r="B50" s="47" t="s">
        <v>87</v>
      </c>
      <c r="C50" s="62">
        <v>45241</v>
      </c>
      <c r="D50" s="62" t="s">
        <v>53</v>
      </c>
      <c r="E50" s="48">
        <v>0.78800000000000003</v>
      </c>
      <c r="F50" s="47">
        <v>569</v>
      </c>
      <c r="G50" s="67">
        <v>0.79513888888888884</v>
      </c>
      <c r="H50" s="49"/>
      <c r="I50" s="49"/>
      <c r="J50" s="49">
        <v>452.36</v>
      </c>
      <c r="K50" s="49">
        <v>456.62</v>
      </c>
      <c r="L50" s="49">
        <f t="shared" si="24"/>
        <v>-4.2599999999999909</v>
      </c>
      <c r="M50" s="50">
        <v>29.11589</v>
      </c>
      <c r="N50" s="50">
        <v>-0.1</v>
      </c>
      <c r="O50" s="50">
        <f t="shared" ref="O50:O52" si="62">1000*LN(M50/1000+1)</f>
        <v>28.700074417021973</v>
      </c>
      <c r="P50" s="50">
        <f t="shared" ref="P50:P52" si="63">N50+0.528*O50</f>
        <v>15.053639292187603</v>
      </c>
      <c r="Q50" s="63">
        <v>39.002600000000001</v>
      </c>
      <c r="R50" s="64">
        <f t="shared" ref="R50:R54" si="64">(1000+Q50)/(1000+M50)</f>
        <v>1.0096069938245731</v>
      </c>
      <c r="S50" s="50">
        <f t="shared" ref="S50:S54" si="65">(EXP(P50/1000)-1)*1000</f>
        <v>15.16751602234967</v>
      </c>
      <c r="T50" s="63">
        <v>20.2498</v>
      </c>
      <c r="U50" s="64">
        <f t="shared" si="52"/>
        <v>1.0050063500825597</v>
      </c>
      <c r="V50" s="65">
        <f t="shared" si="53"/>
        <v>-0.15442199324875716</v>
      </c>
      <c r="W50" s="50">
        <f>((1000+Q50)/$R$72)-1000</f>
        <v>29.131490366133221</v>
      </c>
      <c r="X50" s="50">
        <f>((1000+T50)/$U$72)-1000</f>
        <v>15.192203744623498</v>
      </c>
      <c r="Y50" s="50">
        <f t="shared" si="54"/>
        <v>15.077957861980531</v>
      </c>
      <c r="Z50" s="50">
        <f t="shared" si="55"/>
        <v>28.715233300528851</v>
      </c>
      <c r="AA50" s="66">
        <f>Y50-0.528*Z50</f>
        <v>-8.368532069870227E-2</v>
      </c>
      <c r="AB50" s="50">
        <f>AA50-$AA$72</f>
        <v>1.8401926267813506E-2</v>
      </c>
      <c r="AC50" s="47"/>
      <c r="AD50" s="47"/>
      <c r="AE50" s="47"/>
      <c r="AF50" s="47">
        <f t="shared" si="23"/>
        <v>722.08121827411162</v>
      </c>
      <c r="AG50" s="47"/>
      <c r="AH50" s="47"/>
      <c r="AI50" s="47"/>
    </row>
    <row r="51" spans="1:35" ht="14" x14ac:dyDescent="0.2">
      <c r="A51" s="62">
        <f t="shared" si="37"/>
        <v>45242.0625</v>
      </c>
      <c r="B51" s="47" t="s">
        <v>88</v>
      </c>
      <c r="C51" s="62">
        <v>45242</v>
      </c>
      <c r="D51" s="62" t="s">
        <v>83</v>
      </c>
      <c r="E51" s="48">
        <v>0.79</v>
      </c>
      <c r="F51" s="47">
        <v>373</v>
      </c>
      <c r="G51" s="67">
        <v>6.25E-2</v>
      </c>
      <c r="H51" s="49">
        <v>28</v>
      </c>
      <c r="I51" s="49"/>
      <c r="J51" s="49"/>
      <c r="K51" s="49"/>
      <c r="L51" s="49"/>
      <c r="M51" s="50"/>
      <c r="N51" s="50"/>
      <c r="O51" s="50"/>
      <c r="P51" s="50"/>
      <c r="Q51" s="63"/>
      <c r="R51" s="64"/>
      <c r="S51" s="50"/>
      <c r="T51" s="63"/>
      <c r="U51" s="64"/>
      <c r="V51" s="65"/>
      <c r="W51" s="50"/>
      <c r="X51" s="50"/>
      <c r="Y51" s="50"/>
      <c r="Z51" s="50"/>
      <c r="AA51" s="66"/>
      <c r="AB51" s="50"/>
      <c r="AC51" s="47"/>
      <c r="AD51" s="47"/>
      <c r="AE51" s="47"/>
      <c r="AF51" s="47">
        <f t="shared" si="23"/>
        <v>472.15189873417717</v>
      </c>
      <c r="AG51" s="47"/>
      <c r="AH51" s="47"/>
      <c r="AI51" s="47"/>
    </row>
    <row r="52" spans="1:35" ht="14" x14ac:dyDescent="0.2">
      <c r="A52" s="62">
        <f t="shared" si="37"/>
        <v>45242.083333333336</v>
      </c>
      <c r="B52" s="47" t="s">
        <v>89</v>
      </c>
      <c r="C52" s="62">
        <v>45242</v>
      </c>
      <c r="D52" s="62" t="s">
        <v>83</v>
      </c>
      <c r="E52" s="48">
        <v>0.75600000000000001</v>
      </c>
      <c r="F52" s="47">
        <v>516</v>
      </c>
      <c r="G52" s="67">
        <v>8.3333333333333329E-2</v>
      </c>
      <c r="H52" s="49">
        <v>29</v>
      </c>
      <c r="I52" s="49"/>
      <c r="J52" s="49">
        <v>454.49</v>
      </c>
      <c r="K52" s="49">
        <v>456.12</v>
      </c>
      <c r="L52" s="49">
        <f t="shared" si="24"/>
        <v>-1.6299999999999955</v>
      </c>
      <c r="M52" s="50">
        <v>29.11589</v>
      </c>
      <c r="N52" s="50">
        <v>-0.1</v>
      </c>
      <c r="O52" s="50">
        <f t="shared" si="62"/>
        <v>28.700074417021973</v>
      </c>
      <c r="P52" s="50">
        <f t="shared" si="63"/>
        <v>15.053639292187603</v>
      </c>
      <c r="Q52" s="63">
        <v>38.656999999999996</v>
      </c>
      <c r="R52" s="64">
        <f t="shared" si="64"/>
        <v>1.0092711715878762</v>
      </c>
      <c r="S52" s="50">
        <f t="shared" si="65"/>
        <v>15.16751602234967</v>
      </c>
      <c r="T52" s="63">
        <v>20.069099999999999</v>
      </c>
      <c r="U52" s="64">
        <f t="shared" si="52"/>
        <v>1.0048283499031332</v>
      </c>
      <c r="V52" s="65">
        <f t="shared" ref="V52:V55" si="66">1000*LN(T52/1000+1)-0.528*(1000*LN(Q52/1000+1))</f>
        <v>-0.15589505693892036</v>
      </c>
      <c r="W52" s="50">
        <f t="shared" ref="W52:W57" si="67">((1000+Q52)/$R$72)-1000</f>
        <v>28.789173760697622</v>
      </c>
      <c r="X52" s="50">
        <f t="shared" ref="X52:X57" si="68">((1000+T52)/$U$72)-1000</f>
        <v>15.012399513133687</v>
      </c>
      <c r="Y52" s="50">
        <f t="shared" ref="Y52:Y55" si="69">1000*(LN(X52/1000+1))</f>
        <v>14.9008286882299</v>
      </c>
      <c r="Z52" s="50">
        <f t="shared" ref="Z52:Z55" si="70">1000*(LN(W52/1000+1))</f>
        <v>28.382551273898656</v>
      </c>
      <c r="AA52" s="66">
        <f t="shared" ref="AA52:AA57" si="71">Y52-0.528*Z52</f>
        <v>-8.5158384388590136E-2</v>
      </c>
      <c r="AB52" s="50">
        <f t="shared" ref="AB52:AB57" si="72">AA52-$AA$72</f>
        <v>1.6928862577925641E-2</v>
      </c>
      <c r="AC52" s="47"/>
      <c r="AD52" s="47"/>
      <c r="AE52" s="47"/>
      <c r="AF52" s="47">
        <f t="shared" si="23"/>
        <v>682.53968253968253</v>
      </c>
      <c r="AG52" s="47"/>
      <c r="AH52" s="47"/>
      <c r="AI52" s="47"/>
    </row>
    <row r="53" spans="1:35" ht="14" x14ac:dyDescent="0.2">
      <c r="A53" s="62">
        <f t="shared" si="37"/>
        <v>45242.286111111112</v>
      </c>
      <c r="B53" s="47" t="s">
        <v>90</v>
      </c>
      <c r="C53" s="62">
        <v>45242</v>
      </c>
      <c r="D53" s="62" t="s">
        <v>44</v>
      </c>
      <c r="E53" s="48">
        <v>0.77</v>
      </c>
      <c r="F53" s="47">
        <v>596</v>
      </c>
      <c r="G53" s="67">
        <v>0.28611111111111115</v>
      </c>
      <c r="H53" s="49">
        <v>10</v>
      </c>
      <c r="I53" s="49"/>
      <c r="J53" s="49">
        <v>451.24</v>
      </c>
      <c r="K53" s="49">
        <v>456.64</v>
      </c>
      <c r="L53" s="49">
        <f t="shared" si="24"/>
        <v>-5.3999999999999773</v>
      </c>
      <c r="M53" s="50">
        <v>29.11589</v>
      </c>
      <c r="N53" s="50">
        <v>-0.1</v>
      </c>
      <c r="O53" s="50">
        <f t="shared" ref="O53" si="73">1000*LN(M53/1000+1)</f>
        <v>28.700074417021973</v>
      </c>
      <c r="P53" s="50">
        <f t="shared" ref="P53" si="74">N53+0.528*O53</f>
        <v>15.053639292187603</v>
      </c>
      <c r="Q53" s="63">
        <v>39.055100000000003</v>
      </c>
      <c r="R53" s="64">
        <f t="shared" si="64"/>
        <v>1.0096580084872657</v>
      </c>
      <c r="S53" s="50">
        <f t="shared" si="65"/>
        <v>15.16751602234967</v>
      </c>
      <c r="T53" s="63">
        <v>20.256599999999999</v>
      </c>
      <c r="U53" s="64">
        <f t="shared" si="52"/>
        <v>1.0050130484844417</v>
      </c>
      <c r="V53" s="65">
        <f t="shared" si="66"/>
        <v>-0.17443573980646931</v>
      </c>
      <c r="W53" s="50">
        <f t="shared" si="67"/>
        <v>29.183491586576793</v>
      </c>
      <c r="X53" s="50">
        <f t="shared" si="68"/>
        <v>15.198970035570483</v>
      </c>
      <c r="Y53" s="50">
        <f t="shared" si="69"/>
        <v>15.084622874156011</v>
      </c>
      <c r="Z53" s="50">
        <f t="shared" si="70"/>
        <v>28.765761252674636</v>
      </c>
      <c r="AA53" s="66">
        <f t="shared" si="71"/>
        <v>-0.10369906725619771</v>
      </c>
      <c r="AB53" s="50">
        <f t="shared" si="72"/>
        <v>-1.6118202896819311E-3</v>
      </c>
      <c r="AC53" s="47"/>
      <c r="AD53" s="47"/>
      <c r="AE53" s="47"/>
      <c r="AF53" s="47">
        <f t="shared" si="23"/>
        <v>774.02597402597405</v>
      </c>
      <c r="AG53" s="47"/>
      <c r="AH53" s="47"/>
      <c r="AI53" s="47"/>
    </row>
    <row r="54" spans="1:35" ht="14" x14ac:dyDescent="0.2">
      <c r="A54" s="62">
        <f t="shared" si="37"/>
        <v>45242.590277777781</v>
      </c>
      <c r="B54" s="47" t="s">
        <v>91</v>
      </c>
      <c r="C54" s="62">
        <v>45242</v>
      </c>
      <c r="D54" s="62" t="s">
        <v>53</v>
      </c>
      <c r="E54" s="48">
        <v>0.82599999999999996</v>
      </c>
      <c r="F54" s="47">
        <v>672</v>
      </c>
      <c r="G54" s="67">
        <v>0.59027777777777779</v>
      </c>
      <c r="H54" s="49">
        <v>18.25</v>
      </c>
      <c r="I54" s="49"/>
      <c r="J54" s="49">
        <v>453.81</v>
      </c>
      <c r="K54" s="49">
        <v>456.7</v>
      </c>
      <c r="L54" s="49">
        <f t="shared" si="24"/>
        <v>-2.8899999999999864</v>
      </c>
      <c r="M54" s="50">
        <v>29.11589</v>
      </c>
      <c r="N54" s="50">
        <v>-0.1</v>
      </c>
      <c r="O54" s="50">
        <f t="shared" ref="O54" si="75">1000*LN(M54/1000+1)</f>
        <v>28.700074417021973</v>
      </c>
      <c r="P54" s="50">
        <f t="shared" ref="P54" si="76">N54+0.528*O54</f>
        <v>15.053639292187603</v>
      </c>
      <c r="Q54" s="63">
        <v>39.003300000000003</v>
      </c>
      <c r="R54" s="64">
        <f t="shared" si="64"/>
        <v>1.0096076740200757</v>
      </c>
      <c r="S54" s="50">
        <f t="shared" si="65"/>
        <v>15.16751602234967</v>
      </c>
      <c r="T54" s="63">
        <v>20.216999999999999</v>
      </c>
      <c r="U54" s="64">
        <f t="shared" si="52"/>
        <v>1.0049740401440694</v>
      </c>
      <c r="V54" s="65">
        <f t="shared" si="66"/>
        <v>-0.18692722508354365</v>
      </c>
      <c r="W54" s="50">
        <f t="shared" si="67"/>
        <v>29.132183715739075</v>
      </c>
      <c r="X54" s="50">
        <f t="shared" si="68"/>
        <v>15.159566341231766</v>
      </c>
      <c r="Y54" s="50">
        <f t="shared" si="69"/>
        <v>15.045808355796105</v>
      </c>
      <c r="Z54" s="50">
        <f t="shared" si="70"/>
        <v>28.715907023351111</v>
      </c>
      <c r="AA54" s="66">
        <f t="shared" si="71"/>
        <v>-0.1161905525332827</v>
      </c>
      <c r="AB54" s="50">
        <f t="shared" si="72"/>
        <v>-1.4103305566766922E-2</v>
      </c>
      <c r="AC54" s="47"/>
      <c r="AD54" s="47"/>
      <c r="AE54" s="47"/>
      <c r="AF54" s="47">
        <f t="shared" si="23"/>
        <v>813.5593220338983</v>
      </c>
      <c r="AG54" s="47"/>
      <c r="AH54" s="47"/>
      <c r="AI54" s="47"/>
    </row>
    <row r="55" spans="1:35" ht="14" x14ac:dyDescent="0.2">
      <c r="A55" s="62">
        <f t="shared" si="37"/>
        <v>45242.861111111109</v>
      </c>
      <c r="B55" s="47" t="s">
        <v>92</v>
      </c>
      <c r="C55" s="62">
        <v>45242</v>
      </c>
      <c r="D55" s="62" t="s">
        <v>53</v>
      </c>
      <c r="E55" s="48">
        <v>0.72799999999999998</v>
      </c>
      <c r="F55" s="47">
        <v>587</v>
      </c>
      <c r="G55" s="67">
        <v>0.86111111111111116</v>
      </c>
      <c r="H55" s="49">
        <v>25</v>
      </c>
      <c r="I55" s="49"/>
      <c r="J55" s="49">
        <v>453.5</v>
      </c>
      <c r="K55" s="49">
        <v>456.61</v>
      </c>
      <c r="L55" s="49">
        <f t="shared" si="24"/>
        <v>-3.1100000000000136</v>
      </c>
      <c r="M55" s="50">
        <v>29.11589</v>
      </c>
      <c r="N55" s="50">
        <v>-0.1</v>
      </c>
      <c r="O55" s="50">
        <f t="shared" ref="O55" si="77">1000*LN(M55/1000+1)</f>
        <v>28.700074417021973</v>
      </c>
      <c r="P55" s="50">
        <f t="shared" ref="P55" si="78">N55+0.528*O55</f>
        <v>15.053639292187603</v>
      </c>
      <c r="Q55" s="63">
        <v>39.081000000000003</v>
      </c>
      <c r="R55" s="64">
        <f t="shared" ref="R55" si="79">(1000+Q55)/(1000+M55)</f>
        <v>1.0096831757208606</v>
      </c>
      <c r="S55" s="50">
        <f t="shared" ref="S55" si="80">(EXP(P55/1000)-1)*1000</f>
        <v>15.16751602234967</v>
      </c>
      <c r="T55" s="63">
        <v>20.327400000000001</v>
      </c>
      <c r="U55" s="64">
        <f t="shared" si="52"/>
        <v>1.0050827906687438</v>
      </c>
      <c r="V55" s="65">
        <f t="shared" si="66"/>
        <v>-0.11820486464459279</v>
      </c>
      <c r="W55" s="50">
        <f t="shared" si="67"/>
        <v>29.209145521995652</v>
      </c>
      <c r="X55" s="50">
        <f t="shared" si="68"/>
        <v>15.269419064842623</v>
      </c>
      <c r="Y55" s="50">
        <f t="shared" si="69"/>
        <v>15.154014773757543</v>
      </c>
      <c r="Z55" s="50">
        <f t="shared" si="70"/>
        <v>28.790687435325804</v>
      </c>
      <c r="AA55" s="66">
        <f t="shared" si="71"/>
        <v>-4.7468192094481054E-2</v>
      </c>
      <c r="AB55" s="50">
        <f t="shared" si="72"/>
        <v>5.4619054872034722E-2</v>
      </c>
      <c r="AC55" s="47"/>
      <c r="AD55" s="47"/>
      <c r="AE55" s="47"/>
      <c r="AF55" s="47">
        <f t="shared" si="23"/>
        <v>806.31868131868134</v>
      </c>
      <c r="AG55" s="47"/>
      <c r="AH55" s="47"/>
      <c r="AI55" s="47"/>
    </row>
    <row r="56" spans="1:35" ht="14" x14ac:dyDescent="0.2">
      <c r="A56" s="62">
        <f>C56+G56</f>
        <v>45243.135416666664</v>
      </c>
      <c r="B56" s="47" t="s">
        <v>93</v>
      </c>
      <c r="C56" s="62">
        <v>45243</v>
      </c>
      <c r="D56" s="62" t="s">
        <v>41</v>
      </c>
      <c r="E56" s="48">
        <v>0.83099999999999996</v>
      </c>
      <c r="F56" s="47">
        <v>618</v>
      </c>
      <c r="G56" s="67">
        <v>0.13541666666666666</v>
      </c>
      <c r="H56" s="49">
        <v>31.5</v>
      </c>
      <c r="I56" s="49"/>
      <c r="J56" s="49">
        <v>454.24</v>
      </c>
      <c r="K56" s="49">
        <v>456.41</v>
      </c>
      <c r="L56" s="49">
        <f t="shared" ref="L56:L68" si="81">J56-K56</f>
        <v>-2.1700000000000159</v>
      </c>
      <c r="M56" s="50">
        <v>29.11589</v>
      </c>
      <c r="N56" s="50">
        <v>-0.1</v>
      </c>
      <c r="O56" s="50">
        <f t="shared" ref="O56" si="82">1000*LN(M56/1000+1)</f>
        <v>28.700074417021973</v>
      </c>
      <c r="P56" s="50">
        <f t="shared" ref="P56" si="83">N56+0.528*O56</f>
        <v>15.053639292187603</v>
      </c>
      <c r="Q56" s="63">
        <v>38.887700000000002</v>
      </c>
      <c r="R56" s="64">
        <f t="shared" ref="R56:R61" si="84">(1000+Q56)/(1000+M56)</f>
        <v>1.0094953445913657</v>
      </c>
      <c r="S56" s="50">
        <f t="shared" ref="S56:S61" si="85">(EXP(P56/1000)-1)*1000</f>
        <v>15.16751602234967</v>
      </c>
      <c r="T56" s="63">
        <v>20.169499999999999</v>
      </c>
      <c r="U56" s="64">
        <f t="shared" ref="U56" si="86">(1000+T56)/(1000+S56)</f>
        <v>1.0049272498368045</v>
      </c>
      <c r="V56" s="65">
        <f>1000*LN(T56/1000+1)-0.528*(1000*LN(Q56/1000+1))</f>
        <v>-0.17473823256318965</v>
      </c>
      <c r="W56" s="50">
        <f t="shared" si="67"/>
        <v>29.017681980819134</v>
      </c>
      <c r="X56" s="50">
        <f t="shared" si="68"/>
        <v>15.11230180888117</v>
      </c>
      <c r="Y56" s="50">
        <f t="shared" ref="Y56:Y57" si="87">1000*(LN(X56/1000+1))</f>
        <v>14.999248549594187</v>
      </c>
      <c r="Z56" s="50">
        <f t="shared" ref="Z56:Z57" si="88">1000*(LN(W56/1000+1))</f>
        <v>28.604640359104422</v>
      </c>
      <c r="AA56" s="66">
        <f t="shared" si="71"/>
        <v>-0.10400156001294825</v>
      </c>
      <c r="AB56" s="50">
        <f t="shared" si="72"/>
        <v>-1.9143130464324698E-3</v>
      </c>
      <c r="AC56" s="47"/>
      <c r="AD56" s="47"/>
      <c r="AE56" s="47"/>
      <c r="AF56" s="47">
        <f t="shared" si="23"/>
        <v>743.68231046931407</v>
      </c>
      <c r="AG56" s="47"/>
      <c r="AH56" s="47"/>
      <c r="AI56" s="47"/>
    </row>
    <row r="57" spans="1:35" ht="14" x14ac:dyDescent="0.2">
      <c r="A57" s="62">
        <f t="shared" ref="A57:A67" si="89">C57+G57</f>
        <v>45243.416666666664</v>
      </c>
      <c r="B57" s="47" t="s">
        <v>94</v>
      </c>
      <c r="C57" s="62">
        <v>45243</v>
      </c>
      <c r="D57" s="62" t="s">
        <v>44</v>
      </c>
      <c r="E57" s="48">
        <v>0.71499999999999997</v>
      </c>
      <c r="F57" s="47">
        <v>609</v>
      </c>
      <c r="G57" s="67">
        <v>0.41666666666666669</v>
      </c>
      <c r="H57" s="49"/>
      <c r="I57" s="49"/>
      <c r="J57" s="49">
        <v>455.5</v>
      </c>
      <c r="K57" s="49">
        <v>456.42</v>
      </c>
      <c r="L57" s="49">
        <f t="shared" si="81"/>
        <v>-0.92000000000001592</v>
      </c>
      <c r="M57" s="50">
        <v>29.11589</v>
      </c>
      <c r="N57" s="50">
        <v>-0.1</v>
      </c>
      <c r="O57" s="50">
        <f t="shared" ref="O57:O59" si="90">1000*LN(M57/1000+1)</f>
        <v>28.700074417021973</v>
      </c>
      <c r="P57" s="50">
        <f t="shared" ref="P57:P59" si="91">N57+0.528*O57</f>
        <v>15.053639292187603</v>
      </c>
      <c r="Q57" s="63">
        <v>38.615499999999997</v>
      </c>
      <c r="R57" s="64">
        <f t="shared" si="84"/>
        <v>1.0092308457116523</v>
      </c>
      <c r="S57" s="50">
        <f t="shared" si="85"/>
        <v>15.16751602234967</v>
      </c>
      <c r="T57" s="63">
        <v>20.0548</v>
      </c>
      <c r="U57" s="64">
        <f t="shared" si="52"/>
        <v>1.0048142635579986</v>
      </c>
      <c r="V57" s="65">
        <f>1000*LN(T57/1000+1)-0.528*(1000*LN(Q57/1000+1))</f>
        <v>-0.14881691825890186</v>
      </c>
      <c r="W57" s="50">
        <f t="shared" si="67"/>
        <v>28.748068034061134</v>
      </c>
      <c r="X57" s="50">
        <f t="shared" si="68"/>
        <v>14.998170401289144</v>
      </c>
      <c r="Y57" s="50">
        <f t="shared" si="87"/>
        <v>14.88680993181978</v>
      </c>
      <c r="Z57" s="50">
        <f t="shared" si="88"/>
        <v>28.342595033197878</v>
      </c>
      <c r="AA57" s="66">
        <f t="shared" si="71"/>
        <v>-7.8080245708699536E-2</v>
      </c>
      <c r="AB57" s="50">
        <f t="shared" si="72"/>
        <v>2.4007001257816241E-2</v>
      </c>
      <c r="AC57" s="47"/>
      <c r="AD57" s="47"/>
      <c r="AE57" s="47"/>
      <c r="AF57" s="47">
        <f t="shared" si="23"/>
        <v>851.74825174825173</v>
      </c>
      <c r="AG57" s="47"/>
      <c r="AH57" s="47"/>
      <c r="AI57" s="47"/>
    </row>
    <row r="58" spans="1:35" ht="14" x14ac:dyDescent="0.2">
      <c r="A58" s="62">
        <f t="shared" si="89"/>
        <v>45243.677083333336</v>
      </c>
      <c r="B58" s="47" t="s">
        <v>95</v>
      </c>
      <c r="C58" s="62">
        <v>45243</v>
      </c>
      <c r="D58" s="62" t="s">
        <v>96</v>
      </c>
      <c r="E58" s="48">
        <v>0.77100000000000002</v>
      </c>
      <c r="F58" s="47">
        <v>349</v>
      </c>
      <c r="G58" s="67">
        <v>0.67708333333333337</v>
      </c>
      <c r="H58" s="49" t="s">
        <v>97</v>
      </c>
      <c r="I58" s="49"/>
      <c r="J58" s="49"/>
      <c r="K58" s="49"/>
      <c r="L58" s="49"/>
      <c r="M58" s="50"/>
      <c r="N58" s="50"/>
      <c r="O58" s="50"/>
      <c r="P58" s="50"/>
      <c r="Q58" s="63"/>
      <c r="R58" s="64"/>
      <c r="S58" s="50"/>
      <c r="T58" s="63"/>
      <c r="U58" s="64"/>
      <c r="V58" s="65"/>
      <c r="W58" s="50"/>
      <c r="X58" s="50"/>
      <c r="Y58" s="50"/>
      <c r="Z58" s="50"/>
      <c r="AA58" s="66"/>
      <c r="AB58" s="50"/>
      <c r="AC58" s="47"/>
      <c r="AD58" s="47"/>
      <c r="AE58" s="47"/>
      <c r="AF58" s="47">
        <f t="shared" si="23"/>
        <v>452.65888456549936</v>
      </c>
      <c r="AG58" s="47"/>
      <c r="AH58" s="47"/>
      <c r="AI58" s="47"/>
    </row>
    <row r="59" spans="1:35" ht="14" x14ac:dyDescent="0.2">
      <c r="A59" s="62">
        <f t="shared" si="89"/>
        <v>45243.708333333336</v>
      </c>
      <c r="B59" s="47" t="s">
        <v>98</v>
      </c>
      <c r="C59" s="62">
        <v>45243</v>
      </c>
      <c r="D59" s="62" t="s">
        <v>96</v>
      </c>
      <c r="E59" s="48">
        <v>0.70299999999999996</v>
      </c>
      <c r="F59" s="47">
        <v>512</v>
      </c>
      <c r="G59" s="67">
        <v>0.70833333333333337</v>
      </c>
      <c r="H59" s="49"/>
      <c r="I59" s="49"/>
      <c r="J59" s="49">
        <v>455.51</v>
      </c>
      <c r="K59" s="49">
        <v>456.62</v>
      </c>
      <c r="L59" s="49">
        <f t="shared" si="81"/>
        <v>-1.1100000000000136</v>
      </c>
      <c r="M59" s="50">
        <v>29.11589</v>
      </c>
      <c r="N59" s="50">
        <v>-0.1</v>
      </c>
      <c r="O59" s="50">
        <f t="shared" si="90"/>
        <v>28.700074417021973</v>
      </c>
      <c r="P59" s="50">
        <f t="shared" si="91"/>
        <v>15.053639292187603</v>
      </c>
      <c r="Q59" s="63">
        <v>39.002400000000002</v>
      </c>
      <c r="R59" s="64">
        <f t="shared" si="84"/>
        <v>1.0096067994830009</v>
      </c>
      <c r="S59" s="50">
        <f t="shared" si="85"/>
        <v>15.16751602234967</v>
      </c>
      <c r="T59" s="63">
        <v>20.162500000000001</v>
      </c>
      <c r="U59" s="64">
        <f t="shared" ref="U59:U61" si="92">(1000+T59)/(1000+S59)</f>
        <v>1.0049203544231022</v>
      </c>
      <c r="V59" s="65">
        <f>1000*LN(T59/1000+1)-0.528*(1000*LN(Q59/1000+1))</f>
        <v>-0.23989129809268661</v>
      </c>
      <c r="W59" s="50">
        <f>((1000+Q59)/$R$72)-1000</f>
        <v>29.131292266245737</v>
      </c>
      <c r="X59" s="50">
        <f>((1000+T59)/$U$72)-1000</f>
        <v>15.105336509376912</v>
      </c>
      <c r="Y59" s="50">
        <f t="shared" ref="Y59:Y61" si="93">1000*(LN(X59/1000+1))</f>
        <v>14.992386921192539</v>
      </c>
      <c r="Z59" s="50">
        <f t="shared" ref="Z59:Z61" si="94">1000*(LN(W59/1000+1))</f>
        <v>28.715040808210301</v>
      </c>
      <c r="AA59" s="66">
        <f t="shared" ref="AA59:AA61" si="95">Y59-0.528*Z59</f>
        <v>-0.16915462554250027</v>
      </c>
      <c r="AB59" s="50">
        <f>AA59-$AA$72</f>
        <v>-6.7067378575984493E-2</v>
      </c>
      <c r="AC59" s="47"/>
      <c r="AD59" s="47"/>
      <c r="AE59" s="47"/>
      <c r="AF59" s="47">
        <f t="shared" si="23"/>
        <v>728.30725462304417</v>
      </c>
      <c r="AG59" s="47"/>
      <c r="AH59" s="47"/>
      <c r="AI59" s="47"/>
    </row>
    <row r="60" spans="1:35" ht="14" x14ac:dyDescent="0.2">
      <c r="A60" s="62">
        <f t="shared" si="89"/>
        <v>45244.015972222223</v>
      </c>
      <c r="B60" s="47" t="s">
        <v>99</v>
      </c>
      <c r="C60" s="62">
        <v>45244</v>
      </c>
      <c r="D60" s="62" t="s">
        <v>53</v>
      </c>
      <c r="E60" s="48">
        <v>0.83</v>
      </c>
      <c r="F60" s="47">
        <v>642</v>
      </c>
      <c r="G60" s="67">
        <v>1.5972222222222224E-2</v>
      </c>
      <c r="H60" s="49"/>
      <c r="I60" s="49"/>
      <c r="J60" s="49">
        <v>452.46</v>
      </c>
      <c r="K60" s="49">
        <v>456.69</v>
      </c>
      <c r="L60" s="49">
        <f t="shared" si="81"/>
        <v>-4.2300000000000182</v>
      </c>
      <c r="M60" s="50">
        <v>29.11589</v>
      </c>
      <c r="N60" s="50">
        <v>-0.1</v>
      </c>
      <c r="O60" s="50">
        <f t="shared" ref="O60" si="96">1000*LN(M60/1000+1)</f>
        <v>28.700074417021973</v>
      </c>
      <c r="P60" s="50">
        <f t="shared" ref="P60" si="97">N60+0.528*O60</f>
        <v>15.053639292187603</v>
      </c>
      <c r="Q60" s="63">
        <v>38.975200000000001</v>
      </c>
      <c r="R60" s="64">
        <f t="shared" si="84"/>
        <v>1.0095803690291869</v>
      </c>
      <c r="S60" s="50">
        <f t="shared" si="85"/>
        <v>15.16751602234967</v>
      </c>
      <c r="T60" s="63">
        <v>20.207899999999999</v>
      </c>
      <c r="U60" s="64">
        <f t="shared" si="92"/>
        <v>1.0049650761062565</v>
      </c>
      <c r="V60" s="65">
        <f>1000*LN(T60/1000+1)-0.528*(1000*LN(Q60/1000+1))</f>
        <v>-0.18156690362184236</v>
      </c>
      <c r="W60" s="50">
        <f>((1000+Q60)/$R$72)-1000</f>
        <v>29.104350681558799</v>
      </c>
      <c r="X60" s="50">
        <f>((1000+T60)/$U$72)-1000</f>
        <v>15.150511451876241</v>
      </c>
      <c r="Y60" s="50">
        <f t="shared" si="93"/>
        <v>15.036888645004387</v>
      </c>
      <c r="Z60" s="50">
        <f t="shared" si="94"/>
        <v>28.688861507719789</v>
      </c>
      <c r="AA60" s="66">
        <f t="shared" si="95"/>
        <v>-0.11083023107166312</v>
      </c>
      <c r="AB60" s="50">
        <f>AA60-$AA$72</f>
        <v>-8.7429841051473445E-3</v>
      </c>
      <c r="AC60" s="47"/>
      <c r="AD60" s="47"/>
      <c r="AE60" s="47"/>
      <c r="AF60" s="47">
        <f t="shared" si="23"/>
        <v>773.49397590361446</v>
      </c>
      <c r="AG60" s="47"/>
      <c r="AH60" s="47"/>
      <c r="AI60" s="47"/>
    </row>
    <row r="61" spans="1:35" ht="14" x14ac:dyDescent="0.2">
      <c r="A61" s="62">
        <f t="shared" si="89"/>
        <v>45244.267361111109</v>
      </c>
      <c r="B61" s="47" t="s">
        <v>100</v>
      </c>
      <c r="C61" s="62">
        <v>45244</v>
      </c>
      <c r="D61" s="62" t="s">
        <v>41</v>
      </c>
      <c r="E61" s="48">
        <v>0.78900000000000003</v>
      </c>
      <c r="F61" s="47">
        <v>588</v>
      </c>
      <c r="G61" s="67">
        <v>0.2673611111111111</v>
      </c>
      <c r="H61" s="49"/>
      <c r="I61" s="49"/>
      <c r="J61" s="49">
        <v>456.26</v>
      </c>
      <c r="K61" s="49">
        <v>456.83</v>
      </c>
      <c r="L61" s="49">
        <f t="shared" si="81"/>
        <v>-0.56999999999999318</v>
      </c>
      <c r="M61" s="50">
        <v>29.11589</v>
      </c>
      <c r="N61" s="50">
        <v>-0.1</v>
      </c>
      <c r="O61" s="50">
        <f t="shared" ref="O61" si="98">1000*LN(M61/1000+1)</f>
        <v>28.700074417021973</v>
      </c>
      <c r="P61" s="50">
        <f t="shared" ref="P61" si="99">N61+0.528*O61</f>
        <v>15.053639292187603</v>
      </c>
      <c r="Q61" s="63">
        <v>38.8767</v>
      </c>
      <c r="R61" s="64">
        <f t="shared" si="84"/>
        <v>1.0094846558048967</v>
      </c>
      <c r="S61" s="50">
        <f t="shared" si="85"/>
        <v>15.16751602234967</v>
      </c>
      <c r="T61" s="63">
        <v>20.173400000000001</v>
      </c>
      <c r="U61" s="64">
        <f t="shared" si="92"/>
        <v>1.0049310915672958</v>
      </c>
      <c r="V61" s="65">
        <f>1000*LN(T61/1000+1)-0.528*(1000*LN(Q61/1000+1))</f>
        <v>-0.16532472150307953</v>
      </c>
      <c r="W61" s="50">
        <f>((1000+Q61)/$R$72)-1000</f>
        <v>29.006786487011823</v>
      </c>
      <c r="X61" s="50">
        <f>((1000+T61)/$U$72)-1000</f>
        <v>15.116182475747792</v>
      </c>
      <c r="Y61" s="50">
        <f t="shared" si="93"/>
        <v>15.003071436423491</v>
      </c>
      <c r="Z61" s="50">
        <f t="shared" si="94"/>
        <v>28.594052055637256</v>
      </c>
      <c r="AA61" s="66">
        <f t="shared" si="95"/>
        <v>-9.458804895298023E-2</v>
      </c>
      <c r="AB61" s="50"/>
      <c r="AC61" s="47"/>
      <c r="AD61" s="47"/>
      <c r="AE61" s="47"/>
      <c r="AF61" s="47">
        <f t="shared" si="23"/>
        <v>745.24714828897334</v>
      </c>
      <c r="AG61" s="47"/>
      <c r="AH61" s="47"/>
      <c r="AI61" s="47"/>
    </row>
    <row r="62" spans="1:35" ht="14" x14ac:dyDescent="0.2">
      <c r="A62" s="62">
        <f t="shared" si="89"/>
        <v>45244.451388888891</v>
      </c>
      <c r="B62" s="47" t="s">
        <v>101</v>
      </c>
      <c r="C62" s="62">
        <v>45244</v>
      </c>
      <c r="D62" s="62" t="s">
        <v>44</v>
      </c>
      <c r="E62" s="48">
        <v>0.83399999999999996</v>
      </c>
      <c r="F62" s="47">
        <v>962</v>
      </c>
      <c r="G62" s="67">
        <v>0.4513888888888889</v>
      </c>
      <c r="H62" s="49"/>
      <c r="I62" s="49"/>
      <c r="J62" s="49"/>
      <c r="K62" s="49"/>
      <c r="L62" s="49"/>
      <c r="M62" s="50"/>
      <c r="N62" s="50"/>
      <c r="O62" s="50"/>
      <c r="P62" s="50"/>
      <c r="Q62" s="63"/>
      <c r="R62" s="64"/>
      <c r="S62" s="50"/>
      <c r="T62" s="63"/>
      <c r="U62" s="64"/>
      <c r="V62" s="65"/>
      <c r="W62" s="50"/>
      <c r="X62" s="50"/>
      <c r="Y62" s="50"/>
      <c r="Z62" s="50"/>
      <c r="AA62" s="66"/>
      <c r="AB62" s="50"/>
      <c r="AC62" s="47"/>
      <c r="AD62" s="47"/>
      <c r="AE62" s="47"/>
      <c r="AF62" s="47">
        <f t="shared" si="23"/>
        <v>1153.4772182254196</v>
      </c>
      <c r="AG62" s="47"/>
      <c r="AH62" s="47"/>
      <c r="AI62" s="47"/>
    </row>
    <row r="63" spans="1:35" ht="14" x14ac:dyDescent="0.2">
      <c r="A63" s="62">
        <f t="shared" si="89"/>
        <v>45244.784722222219</v>
      </c>
      <c r="B63" s="47" t="s">
        <v>102</v>
      </c>
      <c r="C63" s="62">
        <v>45244</v>
      </c>
      <c r="D63" s="62" t="s">
        <v>41</v>
      </c>
      <c r="E63" s="48">
        <v>0.78900000000000003</v>
      </c>
      <c r="F63" s="47">
        <v>623</v>
      </c>
      <c r="G63" s="67">
        <v>0.78472222222222221</v>
      </c>
      <c r="H63" s="49"/>
      <c r="I63" s="49"/>
      <c r="J63" s="49">
        <v>457.89</v>
      </c>
      <c r="K63" s="49">
        <v>456.87</v>
      </c>
      <c r="L63" s="49">
        <f t="shared" si="81"/>
        <v>1.0199999999999818</v>
      </c>
      <c r="M63" s="50">
        <v>29.11589</v>
      </c>
      <c r="N63" s="50">
        <v>-0.1</v>
      </c>
      <c r="O63" s="50">
        <f t="shared" ref="O63" si="100">1000*LN(M63/1000+1)</f>
        <v>28.700074417021973</v>
      </c>
      <c r="P63" s="50">
        <f t="shared" ref="P63" si="101">N63+0.528*O63</f>
        <v>15.053639292187603</v>
      </c>
      <c r="Q63" s="63">
        <v>39.016500000000001</v>
      </c>
      <c r="R63" s="64">
        <f t="shared" ref="R63:R65" si="102">(1000+Q63)/(1000+M63)</f>
        <v>1.0096205005638383</v>
      </c>
      <c r="S63" s="50">
        <f t="shared" ref="S63:S65" si="103">(EXP(P63/1000)-1)*1000</f>
        <v>15.16751602234967</v>
      </c>
      <c r="T63" s="63">
        <v>20.2453</v>
      </c>
      <c r="U63" s="64">
        <f t="shared" ref="U63:U68" si="104">(1000+T63)/(1000+S63)</f>
        <v>1.0050019173166083</v>
      </c>
      <c r="V63" s="65">
        <f t="shared" ref="V63:V68" si="105">1000*LN(T63/1000+1)-0.528*(1000*LN(Q63/1000+1))</f>
        <v>-0.16589633768150236</v>
      </c>
      <c r="W63" s="50">
        <f t="shared" ref="W63:W68" si="106">((1000+Q63)/$R$72)-1000</f>
        <v>29.145258308307575</v>
      </c>
      <c r="X63" s="50">
        <f t="shared" ref="X63:X68" si="107">((1000+T63)/$U$72)-1000</f>
        <v>15.187726052085054</v>
      </c>
      <c r="Y63" s="50">
        <f t="shared" ref="Y63:Y68" si="108">1000*(LN(X63/1000+1))</f>
        <v>15.073547167732794</v>
      </c>
      <c r="Z63" s="50">
        <f t="shared" ref="Z63:Z68" si="109">1000*(LN(W63/1000+1))</f>
        <v>28.728611425879009</v>
      </c>
      <c r="AA63" s="66">
        <f t="shared" ref="AA63:AA67" si="110">Y63-0.528*Z63</f>
        <v>-9.5159665131323123E-2</v>
      </c>
      <c r="AB63" s="50"/>
      <c r="AC63" s="47"/>
      <c r="AD63" s="47"/>
      <c r="AE63" s="47"/>
      <c r="AF63" s="47">
        <f t="shared" si="23"/>
        <v>789.60709759188842</v>
      </c>
      <c r="AG63" s="47"/>
      <c r="AH63" s="47"/>
      <c r="AI63" s="47"/>
    </row>
    <row r="64" spans="1:35" ht="14" x14ac:dyDescent="0.2">
      <c r="A64" s="62">
        <f t="shared" si="89"/>
        <v>45244.979166666664</v>
      </c>
      <c r="B64" s="47" t="s">
        <v>103</v>
      </c>
      <c r="C64" s="62">
        <v>45244</v>
      </c>
      <c r="D64" s="62" t="s">
        <v>96</v>
      </c>
      <c r="E64" s="48">
        <v>0.78500000000000003</v>
      </c>
      <c r="F64" s="47">
        <v>525</v>
      </c>
      <c r="G64" s="67">
        <v>0.97916666666666663</v>
      </c>
      <c r="H64" s="49"/>
      <c r="I64" s="49"/>
      <c r="J64" s="49">
        <v>456.24</v>
      </c>
      <c r="K64" s="49">
        <v>456.86</v>
      </c>
      <c r="L64" s="49">
        <f t="shared" si="81"/>
        <v>-0.62000000000000455</v>
      </c>
      <c r="M64" s="50">
        <v>29.11589</v>
      </c>
      <c r="N64" s="50">
        <v>-0.1</v>
      </c>
      <c r="O64" s="50">
        <f t="shared" ref="O64" si="111">1000*LN(M64/1000+1)</f>
        <v>28.700074417021973</v>
      </c>
      <c r="P64" s="50">
        <f t="shared" ref="P64" si="112">N64+0.528*O64</f>
        <v>15.053639292187603</v>
      </c>
      <c r="Q64" s="63">
        <v>38.813899999999997</v>
      </c>
      <c r="R64" s="64">
        <f t="shared" si="102"/>
        <v>1.0094236325512378</v>
      </c>
      <c r="S64" s="50">
        <f t="shared" si="103"/>
        <v>15.16751602234967</v>
      </c>
      <c r="T64" s="63">
        <v>20.145499999999998</v>
      </c>
      <c r="U64" s="64">
        <f t="shared" si="104"/>
        <v>1.0049036084183969</v>
      </c>
      <c r="V64" s="65">
        <f t="shared" si="105"/>
        <v>-0.1607548717488605</v>
      </c>
      <c r="W64" s="50">
        <f t="shared" si="106"/>
        <v>28.944583122366794</v>
      </c>
      <c r="X64" s="50">
        <f t="shared" si="107"/>
        <v>15.088420782009166</v>
      </c>
      <c r="Y64" s="50">
        <f t="shared" si="108"/>
        <v>14.97572277048538</v>
      </c>
      <c r="Z64" s="50">
        <f t="shared" si="109"/>
        <v>28.533600321371175</v>
      </c>
      <c r="AA64" s="66">
        <f t="shared" si="110"/>
        <v>-9.0018199198601323E-2</v>
      </c>
      <c r="AB64" s="50"/>
      <c r="AC64" s="47"/>
      <c r="AD64" s="47"/>
      <c r="AE64" s="47"/>
      <c r="AF64" s="47">
        <f t="shared" si="23"/>
        <v>668.78980891719743</v>
      </c>
      <c r="AG64" s="47"/>
      <c r="AH64" s="47"/>
      <c r="AI64" s="47"/>
    </row>
    <row r="65" spans="1:35" ht="14" x14ac:dyDescent="0.2">
      <c r="A65" s="62">
        <f t="shared" si="89"/>
        <v>45245.25</v>
      </c>
      <c r="B65" s="47" t="s">
        <v>104</v>
      </c>
      <c r="C65" s="62">
        <v>45245</v>
      </c>
      <c r="D65" s="62" t="s">
        <v>44</v>
      </c>
      <c r="E65" s="48">
        <v>0.78800000000000003</v>
      </c>
      <c r="F65" s="47">
        <v>565</v>
      </c>
      <c r="G65" s="67">
        <v>0.25</v>
      </c>
      <c r="H65" s="49"/>
      <c r="I65" s="49"/>
      <c r="J65" s="49">
        <v>458.31</v>
      </c>
      <c r="K65" s="49">
        <v>456.8</v>
      </c>
      <c r="L65" s="49">
        <f t="shared" si="81"/>
        <v>1.5099999999999909</v>
      </c>
      <c r="M65" s="50">
        <v>29.11589</v>
      </c>
      <c r="N65" s="50">
        <v>-0.1</v>
      </c>
      <c r="O65" s="50">
        <f t="shared" ref="O65" si="113">1000*LN(M65/1000+1)</f>
        <v>28.700074417021973</v>
      </c>
      <c r="P65" s="50">
        <f t="shared" ref="P65" si="114">N65+0.528*O65</f>
        <v>15.053639292187603</v>
      </c>
      <c r="Q65" s="63">
        <v>38.908700000000003</v>
      </c>
      <c r="R65" s="64">
        <f t="shared" si="102"/>
        <v>1.0095157504564427</v>
      </c>
      <c r="S65" s="50">
        <f t="shared" si="103"/>
        <v>15.16751602234967</v>
      </c>
      <c r="T65" s="63">
        <v>20.238700000000001</v>
      </c>
      <c r="U65" s="64">
        <f t="shared" si="104"/>
        <v>1.0049954159265462</v>
      </c>
      <c r="V65" s="65">
        <f t="shared" si="105"/>
        <v>-0.11758151336584532</v>
      </c>
      <c r="W65" s="50">
        <f t="shared" si="106"/>
        <v>29.038482468996563</v>
      </c>
      <c r="X65" s="50">
        <f t="shared" si="107"/>
        <v>15.18115876969523</v>
      </c>
      <c r="Y65" s="50">
        <f t="shared" si="108"/>
        <v>15.06707811431221</v>
      </c>
      <c r="Z65" s="50">
        <f t="shared" si="109"/>
        <v>28.624854081681523</v>
      </c>
      <c r="AA65" s="66">
        <f t="shared" si="110"/>
        <v>-4.6844840815634115E-2</v>
      </c>
      <c r="AB65" s="50"/>
      <c r="AC65" s="47"/>
      <c r="AD65" s="47"/>
      <c r="AE65" s="47"/>
      <c r="AF65" s="47">
        <f t="shared" si="23"/>
        <v>717.005076142132</v>
      </c>
      <c r="AG65" s="47"/>
      <c r="AH65" s="47"/>
      <c r="AI65" s="47"/>
    </row>
    <row r="66" spans="1:35" ht="14" x14ac:dyDescent="0.2">
      <c r="A66" s="62">
        <f t="shared" si="89"/>
        <v>45245.53125</v>
      </c>
      <c r="B66" s="47" t="s">
        <v>105</v>
      </c>
      <c r="C66" s="62">
        <v>45245</v>
      </c>
      <c r="D66" s="62" t="s">
        <v>44</v>
      </c>
      <c r="E66" s="48"/>
      <c r="F66" s="47">
        <v>665</v>
      </c>
      <c r="G66" s="67">
        <v>0.53125</v>
      </c>
      <c r="H66" s="49"/>
      <c r="I66" s="49"/>
      <c r="J66" s="49">
        <v>456.56</v>
      </c>
      <c r="K66" s="49">
        <v>456.58</v>
      </c>
      <c r="L66" s="49">
        <f t="shared" si="81"/>
        <v>-1.999999999998181E-2</v>
      </c>
      <c r="M66" s="50">
        <v>29.11589</v>
      </c>
      <c r="N66" s="50">
        <v>-0.1</v>
      </c>
      <c r="O66" s="50">
        <f t="shared" ref="O66" si="115">1000*LN(M66/1000+1)</f>
        <v>28.700074417021973</v>
      </c>
      <c r="P66" s="50">
        <f t="shared" ref="P66" si="116">N66+0.528*O66</f>
        <v>15.053639292187603</v>
      </c>
      <c r="Q66" s="63">
        <v>39.054099999999998</v>
      </c>
      <c r="R66" s="64">
        <f t="shared" ref="R66" si="117">(1000+Q66)/(1000+M66)</f>
        <v>1.0096570367794049</v>
      </c>
      <c r="S66" s="50">
        <f t="shared" ref="S66" si="118">(EXP(P66/1000)-1)*1000</f>
        <v>15.16751602234967</v>
      </c>
      <c r="T66" s="63">
        <v>20.2135</v>
      </c>
      <c r="U66" s="64">
        <f t="shared" si="104"/>
        <v>1.0049705924372183</v>
      </c>
      <c r="V66" s="65">
        <f t="shared" si="105"/>
        <v>-0.21617275250802592</v>
      </c>
      <c r="W66" s="50">
        <f t="shared" si="106"/>
        <v>29.182501087139826</v>
      </c>
      <c r="X66" s="50">
        <f t="shared" si="107"/>
        <v>15.15608369147958</v>
      </c>
      <c r="Y66" s="50">
        <f t="shared" si="108"/>
        <v>15.042377707214632</v>
      </c>
      <c r="Z66" s="50">
        <f t="shared" si="109"/>
        <v>28.764798839342468</v>
      </c>
      <c r="AA66" s="66">
        <f t="shared" si="110"/>
        <v>-0.1454360799581913</v>
      </c>
      <c r="AB66" s="50"/>
      <c r="AC66" s="47"/>
      <c r="AD66" s="47"/>
      <c r="AE66" s="47"/>
      <c r="AF66" s="47"/>
      <c r="AG66" s="47"/>
      <c r="AH66" s="47"/>
      <c r="AI66" s="47"/>
    </row>
    <row r="67" spans="1:35" ht="14" x14ac:dyDescent="0.2">
      <c r="A67" s="62">
        <f t="shared" si="89"/>
        <v>45245.583333333336</v>
      </c>
      <c r="B67" s="47" t="s">
        <v>106</v>
      </c>
      <c r="C67" s="62">
        <v>45245</v>
      </c>
      <c r="D67" s="62" t="s">
        <v>44</v>
      </c>
      <c r="E67" s="48"/>
      <c r="F67" s="47"/>
      <c r="G67" s="67">
        <v>0.58333333333333337</v>
      </c>
      <c r="H67" s="49"/>
      <c r="I67" s="49"/>
      <c r="J67" s="49">
        <v>456.87</v>
      </c>
      <c r="K67" s="49">
        <v>456.47</v>
      </c>
      <c r="L67" s="49">
        <f t="shared" si="81"/>
        <v>0.39999999999997726</v>
      </c>
      <c r="M67" s="50">
        <v>29.11589</v>
      </c>
      <c r="N67" s="50">
        <v>-0.1</v>
      </c>
      <c r="O67" s="50">
        <f t="shared" ref="O67" si="119">1000*LN(M67/1000+1)</f>
        <v>28.700074417021973</v>
      </c>
      <c r="P67" s="50">
        <f t="shared" ref="P67" si="120">N67+0.528*O67</f>
        <v>15.053639292187603</v>
      </c>
      <c r="Q67" s="63">
        <v>38.917700000000004</v>
      </c>
      <c r="R67" s="64">
        <f t="shared" ref="R67:R68" si="121">(1000+Q67)/(1000+M67)</f>
        <v>1.0095244958271901</v>
      </c>
      <c r="S67" s="50">
        <f t="shared" ref="S67:S68" si="122">(EXP(P67/1000)-1)*1000</f>
        <v>15.16751602234967</v>
      </c>
      <c r="T67" s="63">
        <v>20.1919</v>
      </c>
      <c r="U67" s="64">
        <f t="shared" si="104"/>
        <v>1.0049493151606514</v>
      </c>
      <c r="V67" s="65">
        <f t="shared" si="105"/>
        <v>-0.16802819419422477</v>
      </c>
      <c r="W67" s="50">
        <f t="shared" si="106"/>
        <v>29.047396963929714</v>
      </c>
      <c r="X67" s="50">
        <f t="shared" si="107"/>
        <v>15.134590767294981</v>
      </c>
      <c r="Y67" s="50">
        <f t="shared" si="108"/>
        <v>15.021205444094289</v>
      </c>
      <c r="Z67" s="50">
        <f t="shared" si="109"/>
        <v>28.633516980564668</v>
      </c>
      <c r="AA67" s="66">
        <f t="shared" si="110"/>
        <v>-9.7291521643857237E-2</v>
      </c>
      <c r="AB67" s="50"/>
      <c r="AC67" s="47"/>
      <c r="AD67" s="47"/>
      <c r="AE67" s="47"/>
      <c r="AF67" s="47"/>
      <c r="AG67" s="47"/>
      <c r="AH67" s="47"/>
      <c r="AI67" s="47"/>
    </row>
    <row r="68" spans="1:35" ht="14" x14ac:dyDescent="0.2">
      <c r="A68" s="62">
        <v>45247</v>
      </c>
      <c r="B68" s="47" t="s">
        <v>107</v>
      </c>
      <c r="C68" s="62">
        <v>45247</v>
      </c>
      <c r="D68" s="62" t="s">
        <v>83</v>
      </c>
      <c r="E68" s="48">
        <v>0.80300000000000005</v>
      </c>
      <c r="F68" s="47">
        <v>533</v>
      </c>
      <c r="G68" s="67">
        <v>0.41666666666666669</v>
      </c>
      <c r="H68" s="49"/>
      <c r="I68" s="49"/>
      <c r="J68" s="49">
        <v>461.11</v>
      </c>
      <c r="K68" s="49">
        <v>457.04</v>
      </c>
      <c r="L68" s="49">
        <f t="shared" si="81"/>
        <v>4.0699999999999932</v>
      </c>
      <c r="M68" s="50">
        <v>29.11589</v>
      </c>
      <c r="N68" s="50">
        <v>-0.1</v>
      </c>
      <c r="O68" s="50">
        <f t="shared" ref="O68" si="123">1000*LN(M68/1000+1)</f>
        <v>28.700074417021973</v>
      </c>
      <c r="P68" s="50">
        <f t="shared" ref="P68" si="124">N68+0.528*O68</f>
        <v>15.053639292187603</v>
      </c>
      <c r="Q68" s="63">
        <v>38.933</v>
      </c>
      <c r="R68" s="64">
        <f t="shared" si="121"/>
        <v>1.0095393629574605</v>
      </c>
      <c r="S68" s="50">
        <f t="shared" si="122"/>
        <v>15.16751602234967</v>
      </c>
      <c r="T68" s="63">
        <v>20.1875</v>
      </c>
      <c r="U68" s="64">
        <f t="shared" si="104"/>
        <v>1.0049449809006101</v>
      </c>
      <c r="V68" s="65">
        <f t="shared" si="105"/>
        <v>-0.18011684466640432</v>
      </c>
      <c r="W68" s="50">
        <f t="shared" si="106"/>
        <v>29.06255160531623</v>
      </c>
      <c r="X68" s="50">
        <f t="shared" si="107"/>
        <v>15.13021257903506</v>
      </c>
      <c r="Y68" s="50">
        <f t="shared" si="108"/>
        <v>15.016892520723184</v>
      </c>
      <c r="Z68" s="50">
        <f t="shared" si="109"/>
        <v>28.648243736438204</v>
      </c>
      <c r="AA68" s="66">
        <f>Y68-0.528*Z68</f>
        <v>-0.10938017211618778</v>
      </c>
      <c r="AB68" s="50"/>
      <c r="AC68" s="47"/>
      <c r="AD68" s="47"/>
      <c r="AE68" s="47"/>
      <c r="AF68" s="47"/>
      <c r="AG68" s="47"/>
      <c r="AH68" s="47"/>
      <c r="AI68" s="47"/>
    </row>
    <row r="69" spans="1:35" ht="14" x14ac:dyDescent="0.2">
      <c r="A69" s="62"/>
      <c r="B69" s="47"/>
      <c r="C69" s="62"/>
      <c r="D69" s="62"/>
      <c r="E69" s="48"/>
      <c r="F69" s="47"/>
      <c r="G69" s="67"/>
      <c r="H69" s="49"/>
      <c r="I69" s="49"/>
      <c r="J69" s="49"/>
      <c r="K69" s="49"/>
      <c r="L69" s="49"/>
      <c r="M69" s="50"/>
      <c r="N69" s="50"/>
      <c r="O69" s="50"/>
      <c r="P69" s="50"/>
      <c r="Q69" s="63"/>
      <c r="R69" s="64"/>
      <c r="S69" s="50"/>
      <c r="T69" s="63"/>
      <c r="U69" s="64"/>
      <c r="V69" s="65"/>
      <c r="W69" s="50"/>
      <c r="X69" s="50"/>
      <c r="Y69" s="50"/>
      <c r="Z69" s="50"/>
      <c r="AA69" s="66"/>
      <c r="AB69" s="50"/>
      <c r="AC69" s="47"/>
      <c r="AD69" s="47"/>
      <c r="AE69" s="47"/>
      <c r="AF69" s="47"/>
      <c r="AG69" s="47"/>
      <c r="AH69" s="47"/>
      <c r="AI69" s="47"/>
    </row>
    <row r="70" spans="1:35" ht="14" x14ac:dyDescent="0.2">
      <c r="A70" s="62"/>
      <c r="B70" s="47"/>
      <c r="C70" s="62"/>
      <c r="D70" s="62"/>
      <c r="E70" s="48"/>
      <c r="F70" s="47"/>
      <c r="G70" s="67"/>
      <c r="H70" s="49"/>
      <c r="I70" s="49"/>
      <c r="J70" s="49"/>
      <c r="K70" s="49"/>
      <c r="L70" s="49"/>
      <c r="M70" s="50"/>
      <c r="N70" s="50"/>
      <c r="O70" s="50"/>
      <c r="P70" s="50"/>
      <c r="Q70" s="63"/>
      <c r="R70" s="64"/>
      <c r="S70" s="50"/>
      <c r="T70" s="63"/>
      <c r="U70" s="64"/>
      <c r="V70" s="65"/>
      <c r="W70" s="50"/>
      <c r="X70" s="50"/>
      <c r="Y70" s="50"/>
      <c r="Z70" s="50"/>
      <c r="AA70" s="66"/>
      <c r="AB70" s="50"/>
      <c r="AC70" s="47"/>
      <c r="AD70" s="47"/>
      <c r="AE70" s="47"/>
      <c r="AF70" s="47"/>
      <c r="AG70" s="47"/>
      <c r="AH70" s="47"/>
      <c r="AI70" s="47"/>
    </row>
    <row r="71" spans="1:35" ht="14" x14ac:dyDescent="0.2">
      <c r="A71" s="62"/>
      <c r="B71" s="47"/>
      <c r="C71" s="62"/>
      <c r="D71" s="62"/>
      <c r="E71" s="48"/>
      <c r="F71" s="47"/>
      <c r="G71" s="67"/>
      <c r="H71" s="49"/>
      <c r="I71" s="49"/>
      <c r="J71" s="49"/>
      <c r="K71" s="49"/>
      <c r="L71" s="49"/>
      <c r="M71" s="50"/>
      <c r="N71" s="50"/>
      <c r="O71" s="50"/>
      <c r="P71" s="50"/>
      <c r="Q71" s="63"/>
      <c r="R71" s="64"/>
      <c r="S71" s="50"/>
      <c r="T71" s="63"/>
      <c r="U71" s="64"/>
      <c r="V71" s="65"/>
      <c r="W71" s="50"/>
      <c r="X71" s="50"/>
      <c r="Y71" s="50"/>
      <c r="Z71" s="50"/>
      <c r="AA71" s="66"/>
      <c r="AB71" s="50"/>
      <c r="AC71" s="47"/>
      <c r="AD71" s="47"/>
      <c r="AE71" s="47"/>
      <c r="AF71" s="47"/>
      <c r="AG71" s="47"/>
      <c r="AH71" s="47"/>
      <c r="AI71" s="47"/>
    </row>
    <row r="72" spans="1:35" s="85" customFormat="1" ht="14" x14ac:dyDescent="0.2">
      <c r="A72" s="149"/>
      <c r="B72" s="79" t="s">
        <v>54</v>
      </c>
      <c r="C72" s="79"/>
      <c r="D72" s="79"/>
      <c r="E72" s="80"/>
      <c r="F72" s="79"/>
      <c r="G72" s="79"/>
      <c r="H72" s="81"/>
      <c r="I72" s="81"/>
      <c r="J72" s="81"/>
      <c r="K72" s="81"/>
      <c r="L72" s="81"/>
      <c r="M72" s="82">
        <f>1.03092*$C$3+30.92</f>
        <v>29.11589</v>
      </c>
      <c r="N72" s="82">
        <f>$E$3</f>
        <v>-0.1</v>
      </c>
      <c r="O72" s="82">
        <f>1000*LN(M72/1000+1)</f>
        <v>28.700074417021973</v>
      </c>
      <c r="P72" s="82">
        <f>N72+0.528*O72</f>
        <v>15.053639292187603</v>
      </c>
      <c r="Q72" s="83">
        <f>AVERAGE(Q28:Q68)</f>
        <v>38.986850000000004</v>
      </c>
      <c r="R72" s="84">
        <f>(1000+Q72)/(1000+M72)</f>
        <v>1.0095916894257653</v>
      </c>
      <c r="S72" s="82">
        <f>(EXP(P72/1000)-1)*1000</f>
        <v>15.16751602234967</v>
      </c>
      <c r="T72" s="83">
        <f>AVERAGEA(T28:T64)</f>
        <v>20.224989285714287</v>
      </c>
      <c r="U72" s="84">
        <f>(1000+T72)/(1000+S72)</f>
        <v>1.0049819100626671</v>
      </c>
      <c r="V72" s="83">
        <f>AVERAGE(V28:V68)</f>
        <v>-0.17282391951666387</v>
      </c>
      <c r="W72" s="82">
        <f>AVERAGE(W28:W68)</f>
        <v>29.115889999999986</v>
      </c>
      <c r="X72" s="79"/>
      <c r="Y72" s="82">
        <f>AVERAGE(Y28:Y68)</f>
        <v>15.051539997425994</v>
      </c>
      <c r="Z72" s="82">
        <f>AVERAGE(Z28:Z68)</f>
        <v>28.700051599228235</v>
      </c>
      <c r="AA72" s="82">
        <f>AVERAGE(AA28:AA68)</f>
        <v>-0.10208724696651578</v>
      </c>
      <c r="AB72" s="6" t="s">
        <v>55</v>
      </c>
      <c r="AC72" s="47"/>
      <c r="AD72" s="6"/>
      <c r="AE72" s="6"/>
      <c r="AF72" s="6"/>
      <c r="AG72" s="6"/>
      <c r="AH72" s="6"/>
      <c r="AI72" s="6"/>
    </row>
    <row r="73" spans="1:35" ht="14" x14ac:dyDescent="0.2">
      <c r="A73" s="62"/>
      <c r="B73" s="68"/>
      <c r="C73" s="47"/>
      <c r="D73" s="47"/>
      <c r="E73" s="48"/>
      <c r="F73" s="47"/>
      <c r="G73" s="47"/>
      <c r="H73" s="49"/>
      <c r="I73" s="49"/>
      <c r="J73" s="49"/>
      <c r="K73" s="49"/>
      <c r="L73" s="49"/>
      <c r="M73" s="50"/>
      <c r="N73" s="50"/>
      <c r="O73" s="47"/>
      <c r="P73" s="47"/>
      <c r="Q73" s="47"/>
      <c r="R73" s="84">
        <f>STDEV(R28:R63)</f>
        <v>2.3530330041510286E-4</v>
      </c>
      <c r="S73" s="47"/>
      <c r="T73" s="47"/>
      <c r="U73" s="84">
        <f>STDEV(U28:U63)</f>
        <v>1.1522573418984004E-4</v>
      </c>
      <c r="V73" s="47"/>
      <c r="W73" s="82">
        <f>STDEV(W28:W68)</f>
        <v>0.22335478422727351</v>
      </c>
      <c r="X73" s="47"/>
      <c r="Y73" s="82">
        <f>STDEV(Y28:Y68)</f>
        <v>0.10635868907814153</v>
      </c>
      <c r="Z73" s="47"/>
      <c r="AA73" s="82">
        <f>STDEV(AA28:AA68)</f>
        <v>2.9746536216519282E-2</v>
      </c>
      <c r="AB73" s="6" t="s">
        <v>56</v>
      </c>
      <c r="AC73" s="47"/>
      <c r="AD73" s="47"/>
      <c r="AE73" s="47"/>
      <c r="AF73" s="47"/>
      <c r="AG73" s="47"/>
      <c r="AH73" s="47"/>
      <c r="AI73" s="47"/>
    </row>
    <row r="74" spans="1:35" ht="14" x14ac:dyDescent="0.2">
      <c r="A74" s="62"/>
      <c r="B74" s="68"/>
      <c r="C74" s="47"/>
      <c r="D74" s="47"/>
      <c r="E74" s="48"/>
      <c r="F74" s="47"/>
      <c r="G74" s="47"/>
      <c r="H74" s="49"/>
      <c r="I74" s="49"/>
      <c r="J74" s="49"/>
      <c r="K74" s="49"/>
      <c r="L74" s="49"/>
      <c r="M74" s="50"/>
      <c r="N74" s="50"/>
      <c r="O74" s="47"/>
      <c r="P74" s="47"/>
      <c r="Q74" s="47"/>
      <c r="R74" s="51"/>
      <c r="S74" s="47"/>
      <c r="T74" s="47"/>
      <c r="U74" s="51"/>
      <c r="V74" s="47"/>
      <c r="W74" s="47"/>
      <c r="X74" s="47"/>
      <c r="Y74" s="47"/>
      <c r="Z74" s="47"/>
      <c r="AA74" s="86">
        <f>AA72*1000</f>
        <v>-102.08724696651578</v>
      </c>
      <c r="AB74" s="6" t="s">
        <v>57</v>
      </c>
      <c r="AC74" s="47"/>
      <c r="AD74" s="47"/>
      <c r="AE74" s="47"/>
      <c r="AF74" s="47"/>
      <c r="AG74" s="47"/>
      <c r="AH74" s="47"/>
      <c r="AI74" s="47"/>
    </row>
    <row r="75" spans="1:35" ht="14" x14ac:dyDescent="0.2">
      <c r="A75" s="62"/>
      <c r="B75" s="47"/>
      <c r="C75" s="47"/>
      <c r="D75" s="47"/>
      <c r="E75" s="48"/>
      <c r="F75" s="47"/>
      <c r="G75" s="47"/>
      <c r="H75" s="49"/>
      <c r="I75" s="49"/>
      <c r="J75" s="49"/>
      <c r="K75" s="49"/>
      <c r="L75" s="49"/>
      <c r="M75" s="50"/>
      <c r="N75" s="50"/>
      <c r="O75" s="50"/>
      <c r="P75" s="50"/>
      <c r="Q75" s="63"/>
      <c r="R75" s="64"/>
      <c r="S75" s="50"/>
      <c r="T75" s="63"/>
      <c r="U75" s="64"/>
      <c r="V75" s="89"/>
      <c r="W75" s="51"/>
      <c r="X75" s="51"/>
      <c r="Y75" s="51"/>
      <c r="Z75" s="51"/>
      <c r="AA75" s="87">
        <f>AA73*1000</f>
        <v>29.746536216519281</v>
      </c>
      <c r="AB75" s="6" t="s">
        <v>58</v>
      </c>
      <c r="AC75" s="47"/>
      <c r="AD75" s="47"/>
      <c r="AE75" s="47"/>
      <c r="AF75" s="47"/>
      <c r="AG75" s="47"/>
      <c r="AH75" s="47"/>
      <c r="AI75" s="47"/>
    </row>
    <row r="76" spans="1:35" thickBot="1" x14ac:dyDescent="0.25">
      <c r="A76" s="88" t="s">
        <v>59</v>
      </c>
      <c r="B76" s="53" t="s">
        <v>108</v>
      </c>
      <c r="C76" s="53" t="s">
        <v>6</v>
      </c>
      <c r="D76" s="53" t="s">
        <v>7</v>
      </c>
      <c r="E76" s="54" t="s">
        <v>109</v>
      </c>
      <c r="F76" s="53" t="s">
        <v>110</v>
      </c>
      <c r="G76" s="53" t="s">
        <v>10</v>
      </c>
      <c r="H76" s="55" t="s">
        <v>11</v>
      </c>
      <c r="I76" s="55"/>
      <c r="J76" s="55" t="s">
        <v>12</v>
      </c>
      <c r="K76" s="55" t="s">
        <v>13</v>
      </c>
      <c r="L76" s="55" t="s">
        <v>14</v>
      </c>
      <c r="M76" s="90" t="s">
        <v>111</v>
      </c>
      <c r="N76" s="90" t="s">
        <v>112</v>
      </c>
      <c r="O76" s="1" t="s">
        <v>24</v>
      </c>
      <c r="P76" s="1" t="s">
        <v>25</v>
      </c>
      <c r="Q76" s="60" t="s">
        <v>26</v>
      </c>
      <c r="R76" s="91" t="s">
        <v>27</v>
      </c>
      <c r="S76" s="60" t="s">
        <v>28</v>
      </c>
      <c r="T76" s="1" t="s">
        <v>113</v>
      </c>
      <c r="U76" s="92" t="s">
        <v>114</v>
      </c>
      <c r="V76" s="92" t="s">
        <v>30</v>
      </c>
      <c r="W76" s="47"/>
      <c r="X76" s="47"/>
      <c r="Y76" s="47"/>
      <c r="Z76" s="47"/>
      <c r="AA76" s="47"/>
      <c r="AB76" s="47"/>
      <c r="AC76" s="47"/>
      <c r="AD76" s="47"/>
      <c r="AE76" s="47"/>
      <c r="AF76" s="47"/>
      <c r="AG76" s="47"/>
      <c r="AH76" s="47"/>
      <c r="AI76" s="47"/>
    </row>
    <row r="77" spans="1:35" ht="14" hidden="1" x14ac:dyDescent="0.2">
      <c r="A77" s="62"/>
      <c r="B77" s="47" t="s">
        <v>115</v>
      </c>
      <c r="C77" s="62">
        <v>45169</v>
      </c>
      <c r="D77" s="62"/>
      <c r="E77" s="48">
        <v>0.61599999999999999</v>
      </c>
      <c r="F77" s="47">
        <v>527</v>
      </c>
      <c r="G77" s="47"/>
      <c r="H77" s="49"/>
      <c r="I77" s="49"/>
      <c r="J77" s="49"/>
      <c r="K77" s="49"/>
      <c r="L77" s="49"/>
      <c r="M77" s="63">
        <v>26.583400000000001</v>
      </c>
      <c r="N77" s="63">
        <v>13.7737</v>
      </c>
      <c r="O77" s="50">
        <f>((1000+M77)/$R$22)-1000</f>
        <v>16.58044503008</v>
      </c>
      <c r="P77" s="50">
        <f>((1000+N77)/$U$22)-1000</f>
        <v>8.6358390476084423</v>
      </c>
      <c r="Q77" s="63">
        <f>1000*(LN(P77/1000+1))</f>
        <v>8.5987634890431526</v>
      </c>
      <c r="R77" s="93">
        <f>1000*(LN(O77/1000+1))</f>
        <v>16.444490187660133</v>
      </c>
      <c r="S77" s="63">
        <f>Q77-0.528*R77</f>
        <v>-8.3927330041397852E-2</v>
      </c>
      <c r="T77" s="47">
        <v>1</v>
      </c>
      <c r="U77" s="150">
        <f>(O77-30.91)/1.03091</f>
        <v>-13.899908789244455</v>
      </c>
      <c r="V77" s="51" t="s">
        <v>116</v>
      </c>
      <c r="W77" s="47"/>
      <c r="X77" s="47"/>
      <c r="Y77" s="47"/>
      <c r="Z77" s="47"/>
      <c r="AA77" s="47"/>
      <c r="AB77" s="47"/>
      <c r="AC77" s="47"/>
      <c r="AD77" s="47"/>
      <c r="AE77" s="47"/>
      <c r="AF77" s="47"/>
      <c r="AG77" s="47"/>
      <c r="AH77" s="47"/>
      <c r="AI77" s="47"/>
    </row>
    <row r="78" spans="1:35" ht="14" hidden="1" x14ac:dyDescent="0.2">
      <c r="A78" s="62"/>
      <c r="B78" s="47" t="s">
        <v>117</v>
      </c>
      <c r="C78" s="62">
        <v>45234</v>
      </c>
      <c r="D78" s="47" t="str">
        <f t="shared" ref="D78:H78" si="125">D28</f>
        <v>All</v>
      </c>
      <c r="E78" s="48">
        <f t="shared" si="125"/>
        <v>0.57799999999999996</v>
      </c>
      <c r="F78" s="47">
        <f t="shared" si="125"/>
        <v>0</v>
      </c>
      <c r="G78" s="47"/>
      <c r="H78" s="49">
        <f t="shared" si="125"/>
        <v>13.25</v>
      </c>
      <c r="I78" s="49"/>
      <c r="J78" s="49"/>
      <c r="K78" s="49"/>
      <c r="L78" s="49"/>
      <c r="M78" s="63">
        <f>Q72</f>
        <v>38.986850000000004</v>
      </c>
      <c r="N78" s="63">
        <f>T72</f>
        <v>20.224989285714287</v>
      </c>
      <c r="O78" s="50">
        <f>((1000+M78)/$R$22)-1000</f>
        <v>28.863036703497301</v>
      </c>
      <c r="P78" s="50">
        <f>((1000+N78)/$U$22)-1000</f>
        <v>15.054432843872178</v>
      </c>
      <c r="Q78" s="63">
        <f>1000*(LN(P78/1000+1))</f>
        <v>14.942239473406557</v>
      </c>
      <c r="R78" s="93">
        <f>1000*(LN(O78/1000+1))</f>
        <v>28.454344692101934</v>
      </c>
      <c r="S78" s="63">
        <f>Q78-0.528*R78</f>
        <v>-8.165452402326423E-2</v>
      </c>
      <c r="T78" s="47"/>
      <c r="U78" s="150">
        <f>(O78-30.91)/1.03091</f>
        <v>-1.9855887482929642</v>
      </c>
      <c r="V78" s="51"/>
      <c r="W78" s="47"/>
      <c r="X78" s="47"/>
      <c r="Y78" s="47"/>
      <c r="Z78" s="47"/>
      <c r="AA78" s="47"/>
      <c r="AB78" s="47"/>
      <c r="AC78" s="47"/>
      <c r="AD78" s="47"/>
      <c r="AE78" s="47"/>
      <c r="AF78" s="47"/>
      <c r="AG78" s="47"/>
      <c r="AH78" s="47"/>
      <c r="AI78" s="47"/>
    </row>
    <row r="79" spans="1:35" ht="14" hidden="1" x14ac:dyDescent="0.2">
      <c r="A79" s="62"/>
      <c r="B79" s="47" t="s">
        <v>118</v>
      </c>
      <c r="C79" s="62">
        <v>45234</v>
      </c>
      <c r="D79" s="47" t="s">
        <v>34</v>
      </c>
      <c r="E79" s="48">
        <v>0.95799999999999996</v>
      </c>
      <c r="F79" s="47">
        <v>403</v>
      </c>
      <c r="G79" s="47"/>
      <c r="H79" s="49">
        <f>3.5+11</f>
        <v>14.5</v>
      </c>
      <c r="I79" s="49"/>
      <c r="J79" s="49"/>
      <c r="K79" s="49"/>
      <c r="L79" s="49"/>
      <c r="M79" s="63"/>
      <c r="N79" s="63"/>
      <c r="O79" s="47"/>
      <c r="P79" s="47"/>
      <c r="Q79" s="47"/>
      <c r="R79" s="51"/>
      <c r="S79" s="47"/>
      <c r="T79" s="47"/>
      <c r="U79" s="51"/>
      <c r="V79" s="51" t="s">
        <v>119</v>
      </c>
      <c r="W79" s="47"/>
      <c r="X79" s="47"/>
      <c r="Y79" s="47"/>
      <c r="Z79" s="47"/>
      <c r="AA79" s="47"/>
      <c r="AB79" s="47"/>
      <c r="AC79" s="47"/>
      <c r="AD79" s="47"/>
      <c r="AE79" s="47"/>
      <c r="AF79" s="47"/>
      <c r="AG79" s="47"/>
      <c r="AH79" s="47"/>
      <c r="AI79" s="47"/>
    </row>
    <row r="80" spans="1:35" ht="14" hidden="1" x14ac:dyDescent="0.2">
      <c r="A80" s="62"/>
      <c r="B80" s="47" t="s">
        <v>120</v>
      </c>
      <c r="C80" s="62">
        <v>45234</v>
      </c>
      <c r="D80" s="47" t="s">
        <v>44</v>
      </c>
      <c r="E80" s="48">
        <v>0.82499999999999996</v>
      </c>
      <c r="F80" s="47">
        <v>342</v>
      </c>
      <c r="G80" s="47"/>
      <c r="H80" s="49">
        <f>3.5+12</f>
        <v>15.5</v>
      </c>
      <c r="I80" s="49"/>
      <c r="J80" s="49"/>
      <c r="K80" s="49"/>
      <c r="L80" s="49"/>
      <c r="M80" s="63"/>
      <c r="N80" s="63"/>
      <c r="O80" s="47"/>
      <c r="P80" s="47"/>
      <c r="Q80" s="47"/>
      <c r="R80" s="51"/>
      <c r="S80" s="47"/>
      <c r="T80" s="47"/>
      <c r="U80" s="51"/>
      <c r="V80" s="51" t="s">
        <v>121</v>
      </c>
      <c r="W80" s="47"/>
      <c r="X80" s="47"/>
      <c r="Y80" s="47"/>
      <c r="Z80" s="47"/>
      <c r="AA80" s="47"/>
      <c r="AB80" s="47"/>
      <c r="AC80" s="47"/>
      <c r="AD80" s="47"/>
      <c r="AE80" s="47"/>
      <c r="AF80" s="47"/>
      <c r="AG80" s="47"/>
      <c r="AH80" s="47"/>
      <c r="AI80" s="47"/>
    </row>
    <row r="81" spans="2:35" ht="14" hidden="1" x14ac:dyDescent="0.2">
      <c r="B81" s="47" t="s">
        <v>122</v>
      </c>
      <c r="C81" s="62">
        <v>45234</v>
      </c>
      <c r="D81" s="47" t="s">
        <v>44</v>
      </c>
      <c r="E81" s="48"/>
      <c r="F81" s="47">
        <v>465</v>
      </c>
      <c r="G81" s="47"/>
      <c r="H81" s="49"/>
      <c r="I81" s="49"/>
      <c r="J81" s="49"/>
      <c r="K81" s="49"/>
      <c r="L81" s="49"/>
      <c r="M81" s="63"/>
      <c r="N81" s="63"/>
      <c r="O81" s="47"/>
      <c r="P81" s="47"/>
      <c r="Q81" s="47"/>
      <c r="R81" s="51"/>
      <c r="S81" s="47"/>
      <c r="T81" s="47"/>
      <c r="U81" s="51"/>
      <c r="V81" s="51"/>
      <c r="W81" s="47"/>
      <c r="X81" s="47"/>
      <c r="Y81" s="47"/>
      <c r="Z81" s="47"/>
      <c r="AA81" s="47"/>
      <c r="AB81" s="47"/>
      <c r="AC81" s="47"/>
      <c r="AD81" s="47"/>
      <c r="AE81" s="47"/>
      <c r="AF81" s="47"/>
      <c r="AG81" s="47"/>
      <c r="AH81" s="47"/>
      <c r="AI81" s="47"/>
    </row>
    <row r="82" spans="2:35" ht="14" hidden="1" x14ac:dyDescent="0.2">
      <c r="B82" s="47" t="s">
        <v>123</v>
      </c>
      <c r="C82" s="62">
        <v>45234</v>
      </c>
      <c r="D82" s="47" t="s">
        <v>53</v>
      </c>
      <c r="E82" s="48">
        <v>0.98499999999999999</v>
      </c>
      <c r="F82" s="47">
        <v>623</v>
      </c>
      <c r="G82" s="47"/>
      <c r="H82" s="49">
        <v>18.75</v>
      </c>
      <c r="I82" s="49"/>
      <c r="J82" s="49">
        <v>459.27</v>
      </c>
      <c r="K82" s="49">
        <v>456.04</v>
      </c>
      <c r="L82" s="49">
        <f>J82-K82</f>
        <v>3.2299999999999613</v>
      </c>
      <c r="M82" s="63">
        <v>28.335599999999999</v>
      </c>
      <c r="N82" s="63">
        <v>14.5495</v>
      </c>
      <c r="O82" s="50">
        <f>((1000+M82)/$R$22)-1000</f>
        <v>18.315571719038303</v>
      </c>
      <c r="P82" s="50">
        <f>((1000+N82)/$U$22)-1000</f>
        <v>9.4077072504757098</v>
      </c>
      <c r="Q82" s="63">
        <f>1000*(LN(P82/1000+1))</f>
        <v>9.3637303718668079</v>
      </c>
      <c r="R82" s="93">
        <f>1000*(LN(O82/1000+1))</f>
        <v>18.149861956239835</v>
      </c>
      <c r="S82" s="63">
        <f>Q82-0.528*R82</f>
        <v>-0.21939674102782547</v>
      </c>
      <c r="T82" s="47">
        <v>1</v>
      </c>
      <c r="U82" s="150">
        <f t="shared" ref="U82:U84" si="126">(O82-30.91)/1.03091</f>
        <v>-12.216806783290197</v>
      </c>
      <c r="V82" s="51"/>
      <c r="W82" s="47"/>
      <c r="X82" s="47"/>
      <c r="Y82" s="47"/>
      <c r="Z82" s="47"/>
      <c r="AA82" s="47"/>
      <c r="AB82" s="47"/>
      <c r="AC82" s="47"/>
      <c r="AD82" s="47"/>
      <c r="AE82" s="47"/>
      <c r="AF82" s="47"/>
      <c r="AG82" s="47"/>
      <c r="AH82" s="47"/>
      <c r="AI82" s="47"/>
    </row>
    <row r="83" spans="2:35" ht="14" hidden="1" x14ac:dyDescent="0.2">
      <c r="B83" s="47" t="s">
        <v>124</v>
      </c>
      <c r="C83" s="62">
        <v>45234</v>
      </c>
      <c r="D83" s="47" t="s">
        <v>53</v>
      </c>
      <c r="E83" s="48">
        <v>0.82</v>
      </c>
      <c r="F83" s="47">
        <v>642</v>
      </c>
      <c r="G83" s="47"/>
      <c r="H83" s="49">
        <v>19.75</v>
      </c>
      <c r="I83" s="49"/>
      <c r="J83" s="49">
        <v>458.34</v>
      </c>
      <c r="K83" s="49">
        <v>456.07</v>
      </c>
      <c r="L83" s="49">
        <f>J83-K83</f>
        <v>2.2699999999999818</v>
      </c>
      <c r="M83" s="63">
        <v>30.932200000000002</v>
      </c>
      <c r="N83" s="63">
        <v>15.885199999999999</v>
      </c>
      <c r="O83" s="50">
        <f>((1000+M83)/$R$22)-1000</f>
        <v>20.886870635000946</v>
      </c>
      <c r="P83" s="50">
        <f>((1000+N83)/$U$22)-1000</f>
        <v>10.73663784930261</v>
      </c>
      <c r="Q83" s="63">
        <f>1000*(LN(P83/1000+1))</f>
        <v>10.679409416039995</v>
      </c>
      <c r="R83" s="93">
        <f>1000*(LN(O83/1000+1))</f>
        <v>20.671730531234683</v>
      </c>
      <c r="S83" s="63">
        <f>Q83-0.528*R83</f>
        <v>-0.2352643044519187</v>
      </c>
      <c r="T83" s="47">
        <v>1</v>
      </c>
      <c r="U83" s="150">
        <f t="shared" si="126"/>
        <v>-9.7226036850928352</v>
      </c>
      <c r="V83" s="51"/>
      <c r="W83" s="47"/>
      <c r="X83" s="47"/>
      <c r="Y83" s="47"/>
      <c r="Z83" s="47"/>
      <c r="AA83" s="47"/>
      <c r="AB83" s="47"/>
      <c r="AC83" s="47"/>
      <c r="AD83" s="47"/>
      <c r="AE83" s="47"/>
      <c r="AF83" s="47"/>
      <c r="AG83" s="47"/>
      <c r="AH83" s="47"/>
      <c r="AI83" s="47"/>
    </row>
    <row r="84" spans="2:35" ht="14" hidden="1" x14ac:dyDescent="0.2">
      <c r="B84" s="47" t="s">
        <v>125</v>
      </c>
      <c r="C84" s="62">
        <v>45234</v>
      </c>
      <c r="D84" s="47" t="s">
        <v>53</v>
      </c>
      <c r="E84" s="48">
        <v>0.94699999999999995</v>
      </c>
      <c r="F84" s="47">
        <v>584</v>
      </c>
      <c r="G84" s="47"/>
      <c r="H84" s="49">
        <v>21</v>
      </c>
      <c r="I84" s="49"/>
      <c r="J84" s="49">
        <v>458.9</v>
      </c>
      <c r="K84" s="49">
        <v>456.22</v>
      </c>
      <c r="L84" s="49">
        <f>J84-K84</f>
        <v>2.67999999999995</v>
      </c>
      <c r="M84" s="63">
        <v>25.208400000000001</v>
      </c>
      <c r="N84" s="63">
        <v>12.8323</v>
      </c>
      <c r="O84" s="50">
        <f>((1000+M84)/$R$22)-1000</f>
        <v>15.218842931393851</v>
      </c>
      <c r="P84" s="50">
        <f>((1000+N84)/$U$22)-1000</f>
        <v>7.6992101146627192</v>
      </c>
      <c r="Q84" s="63">
        <f>1000*(LN(P84/1000+1))</f>
        <v>7.6697224542178191</v>
      </c>
      <c r="R84" s="93">
        <f>1000*(LN(O84/1000+1))</f>
        <v>15.104198052916647</v>
      </c>
      <c r="S84" s="63">
        <f>Q84-0.528*R84</f>
        <v>-0.30529411772217152</v>
      </c>
      <c r="T84" s="47">
        <v>1</v>
      </c>
      <c r="U84" s="150">
        <f t="shared" si="126"/>
        <v>-15.220685674410131</v>
      </c>
      <c r="V84" s="51"/>
      <c r="W84" s="47"/>
      <c r="X84" s="47"/>
      <c r="Y84" s="47"/>
      <c r="Z84" s="47"/>
      <c r="AA84" s="47"/>
      <c r="AB84" s="47"/>
      <c r="AC84" s="47"/>
      <c r="AD84" s="47"/>
      <c r="AE84" s="47"/>
      <c r="AF84" s="47"/>
      <c r="AG84" s="47"/>
      <c r="AH84" s="47"/>
      <c r="AI84" s="47"/>
    </row>
    <row r="85" spans="2:35" ht="14" hidden="1" x14ac:dyDescent="0.2">
      <c r="B85" s="47" t="s">
        <v>126</v>
      </c>
      <c r="C85" s="62">
        <v>45234</v>
      </c>
      <c r="D85" s="47" t="s">
        <v>53</v>
      </c>
      <c r="E85" s="48">
        <v>0.80200000000000005</v>
      </c>
      <c r="F85" s="47">
        <v>422</v>
      </c>
      <c r="G85" s="47"/>
      <c r="H85" s="49">
        <v>22.5</v>
      </c>
      <c r="I85" s="49"/>
      <c r="J85" s="49"/>
      <c r="K85" s="49"/>
      <c r="L85" s="49"/>
      <c r="M85" s="50"/>
      <c r="N85" s="50"/>
      <c r="O85" s="47"/>
      <c r="P85" s="47"/>
      <c r="Q85" s="47"/>
      <c r="R85" s="51"/>
      <c r="S85" s="47"/>
      <c r="T85" s="47"/>
      <c r="U85" s="51"/>
      <c r="V85" s="51"/>
      <c r="W85" s="47"/>
      <c r="X85" s="47"/>
      <c r="Y85" s="47"/>
      <c r="Z85" s="47"/>
      <c r="AA85" s="47"/>
      <c r="AB85" s="47"/>
      <c r="AC85" s="47"/>
      <c r="AD85" s="47"/>
      <c r="AE85" s="47"/>
      <c r="AF85" s="47"/>
      <c r="AG85" s="47"/>
      <c r="AH85" s="47"/>
      <c r="AI85" s="47"/>
    </row>
    <row r="86" spans="2:35" ht="14" hidden="1" x14ac:dyDescent="0.2">
      <c r="B86" s="47" t="s">
        <v>127</v>
      </c>
      <c r="C86" s="62">
        <v>45234</v>
      </c>
      <c r="D86" s="47" t="s">
        <v>53</v>
      </c>
      <c r="E86" s="48">
        <v>0.81399999999999995</v>
      </c>
      <c r="F86" s="47">
        <v>136</v>
      </c>
      <c r="G86" s="47"/>
      <c r="H86" s="49">
        <v>22.75</v>
      </c>
      <c r="I86" s="49"/>
      <c r="J86" s="49"/>
      <c r="K86" s="49"/>
      <c r="L86" s="49"/>
      <c r="M86" s="63"/>
      <c r="N86" s="63"/>
      <c r="O86" s="47"/>
      <c r="P86" s="47"/>
      <c r="Q86" s="47"/>
      <c r="R86" s="51"/>
      <c r="S86" s="47"/>
      <c r="T86" s="47"/>
      <c r="U86" s="51"/>
      <c r="V86" s="51"/>
      <c r="W86" s="47"/>
      <c r="X86" s="47"/>
      <c r="Y86" s="47"/>
      <c r="Z86" s="47"/>
      <c r="AA86" s="47"/>
      <c r="AB86" s="47"/>
      <c r="AC86" s="47"/>
      <c r="AD86" s="47"/>
      <c r="AE86" s="47"/>
      <c r="AF86" s="47"/>
      <c r="AG86" s="47"/>
      <c r="AH86" s="47"/>
      <c r="AI86" s="47"/>
    </row>
    <row r="87" spans="2:35" ht="14" hidden="1" x14ac:dyDescent="0.2">
      <c r="B87" s="47" t="s">
        <v>128</v>
      </c>
      <c r="C87" s="62">
        <v>45234</v>
      </c>
      <c r="D87" s="47" t="s">
        <v>53</v>
      </c>
      <c r="E87" s="48">
        <v>1.02</v>
      </c>
      <c r="F87" s="47">
        <v>497</v>
      </c>
      <c r="G87" s="47"/>
      <c r="H87" s="49">
        <v>24.25</v>
      </c>
      <c r="I87" s="49"/>
      <c r="J87" s="49">
        <v>458.61</v>
      </c>
      <c r="K87" s="49">
        <v>456.85</v>
      </c>
      <c r="L87" s="49">
        <f>J87-K87</f>
        <v>1.7599999999999909</v>
      </c>
      <c r="M87" s="63">
        <v>25.108499999999999</v>
      </c>
      <c r="N87" s="63">
        <v>12.8322</v>
      </c>
      <c r="O87" s="50">
        <f>((1000+M87)/$R$22)-1000</f>
        <v>15.119916349823939</v>
      </c>
      <c r="P87" s="50">
        <f>((1000+N87)/$U$22)-1000</f>
        <v>7.6991106214683214</v>
      </c>
      <c r="Q87" s="63">
        <f>1000*(LN(P87/1000+1))</f>
        <v>7.6696237211849239</v>
      </c>
      <c r="R87" s="93">
        <f>1000*(LN(O87/1000+1))</f>
        <v>15.006749702294455</v>
      </c>
      <c r="S87" s="63">
        <f>Q87-0.528*R87</f>
        <v>-0.25394012162654889</v>
      </c>
      <c r="T87" s="47">
        <v>1</v>
      </c>
      <c r="U87" s="150">
        <f>(O87-30.91)/1.03091</f>
        <v>-15.316646118648633</v>
      </c>
      <c r="V87" s="51"/>
      <c r="W87" s="47"/>
      <c r="X87" s="47"/>
      <c r="Y87" s="47"/>
      <c r="Z87" s="47"/>
      <c r="AA87" s="47"/>
      <c r="AB87" s="47"/>
      <c r="AC87" s="47"/>
      <c r="AD87" s="47"/>
      <c r="AE87" s="47"/>
      <c r="AF87" s="47"/>
      <c r="AG87" s="47"/>
      <c r="AH87" s="47"/>
      <c r="AI87" s="47"/>
    </row>
    <row r="88" spans="2:35" ht="14" hidden="1" x14ac:dyDescent="0.2">
      <c r="B88" s="47" t="s">
        <v>129</v>
      </c>
      <c r="C88" s="62">
        <v>45234</v>
      </c>
      <c r="D88" s="47" t="s">
        <v>53</v>
      </c>
      <c r="E88" s="48">
        <v>0.75</v>
      </c>
      <c r="F88" s="47">
        <v>363</v>
      </c>
      <c r="G88" s="47"/>
      <c r="H88" s="49">
        <v>25.5</v>
      </c>
      <c r="I88" s="49"/>
      <c r="J88" s="49"/>
      <c r="K88" s="49"/>
      <c r="L88" s="49"/>
      <c r="M88" s="63"/>
      <c r="N88" s="63"/>
      <c r="O88" s="47"/>
      <c r="P88" s="47"/>
      <c r="Q88" s="47"/>
      <c r="R88" s="51"/>
      <c r="S88" s="47"/>
      <c r="T88" s="47"/>
      <c r="U88" s="51"/>
      <c r="V88" s="51" t="s">
        <v>130</v>
      </c>
      <c r="W88" s="47"/>
      <c r="X88" s="47"/>
      <c r="Y88" s="47"/>
      <c r="Z88" s="47"/>
      <c r="AA88" s="47"/>
      <c r="AB88" s="47"/>
      <c r="AC88" s="47"/>
      <c r="AD88" s="47"/>
      <c r="AE88" s="47"/>
      <c r="AF88" s="47"/>
      <c r="AG88" s="47"/>
      <c r="AH88" s="47"/>
      <c r="AI88" s="47"/>
    </row>
    <row r="89" spans="2:35" ht="14" hidden="1" x14ac:dyDescent="0.2">
      <c r="B89" s="47" t="s">
        <v>131</v>
      </c>
      <c r="C89" s="62">
        <v>45234</v>
      </c>
      <c r="D89" s="47" t="s">
        <v>132</v>
      </c>
      <c r="E89" s="48">
        <v>0.79500000000000004</v>
      </c>
      <c r="F89" s="47">
        <v>433</v>
      </c>
      <c r="G89" s="47"/>
      <c r="H89" s="49">
        <f>3.5+12+10.75</f>
        <v>26.25</v>
      </c>
      <c r="I89" s="49"/>
      <c r="J89" s="49"/>
      <c r="K89" s="49"/>
      <c r="L89" s="49"/>
      <c r="M89" s="63"/>
      <c r="N89" s="63"/>
      <c r="O89" s="47"/>
      <c r="P89" s="47"/>
      <c r="Q89" s="47"/>
      <c r="R89" s="51"/>
      <c r="S89" s="47"/>
      <c r="T89" s="47"/>
      <c r="U89" s="51"/>
      <c r="V89" s="51" t="s">
        <v>130</v>
      </c>
      <c r="W89" s="47"/>
      <c r="X89" s="47"/>
      <c r="Y89" s="47"/>
      <c r="Z89" s="47"/>
      <c r="AA89" s="47"/>
      <c r="AB89" s="47"/>
      <c r="AC89" s="47"/>
      <c r="AD89" s="47"/>
      <c r="AE89" s="47"/>
      <c r="AF89" s="47"/>
      <c r="AG89" s="47"/>
      <c r="AH89" s="47"/>
      <c r="AI89" s="47"/>
    </row>
    <row r="90" spans="2:35" ht="14" hidden="1" x14ac:dyDescent="0.2">
      <c r="B90" s="47" t="s">
        <v>133</v>
      </c>
      <c r="C90" s="62">
        <v>45234</v>
      </c>
      <c r="D90" s="47" t="s">
        <v>132</v>
      </c>
      <c r="E90" s="48">
        <v>1.0209999999999999</v>
      </c>
      <c r="F90" s="47">
        <v>53.4</v>
      </c>
      <c r="G90" s="47"/>
      <c r="H90" s="49">
        <f>3.5+12+11</f>
        <v>26.5</v>
      </c>
      <c r="I90" s="49"/>
      <c r="J90" s="49"/>
      <c r="K90" s="49"/>
      <c r="L90" s="49"/>
      <c r="M90" s="63"/>
      <c r="N90" s="63"/>
      <c r="O90" s="47"/>
      <c r="P90" s="47"/>
      <c r="Q90" s="47"/>
      <c r="R90" s="51"/>
      <c r="S90" s="47"/>
      <c r="T90" s="47"/>
      <c r="U90" s="51"/>
      <c r="V90" s="51" t="s">
        <v>130</v>
      </c>
      <c r="W90" s="47"/>
      <c r="X90" s="47"/>
      <c r="Y90" s="47"/>
      <c r="Z90" s="47"/>
      <c r="AA90" s="47"/>
      <c r="AB90" s="47"/>
      <c r="AC90" s="47"/>
      <c r="AD90" s="47"/>
      <c r="AE90" s="47"/>
      <c r="AF90" s="47"/>
      <c r="AG90" s="47"/>
      <c r="AH90" s="47"/>
      <c r="AI90" s="47"/>
    </row>
    <row r="91" spans="2:35" ht="14" hidden="1" x14ac:dyDescent="0.2">
      <c r="B91" s="47" t="s">
        <v>134</v>
      </c>
      <c r="C91" s="62">
        <v>45234</v>
      </c>
      <c r="D91" s="47" t="s">
        <v>132</v>
      </c>
      <c r="E91" s="48">
        <v>1.077</v>
      </c>
      <c r="F91" s="47">
        <v>419</v>
      </c>
      <c r="G91" s="47"/>
      <c r="H91" s="49">
        <v>26.75</v>
      </c>
      <c r="I91" s="49"/>
      <c r="J91" s="49"/>
      <c r="K91" s="49"/>
      <c r="L91" s="49"/>
      <c r="M91" s="63"/>
      <c r="N91" s="63"/>
      <c r="O91" s="47"/>
      <c r="P91" s="47"/>
      <c r="Q91" s="47"/>
      <c r="R91" s="51"/>
      <c r="S91" s="47"/>
      <c r="T91" s="47"/>
      <c r="U91" s="51"/>
      <c r="V91" s="51" t="s">
        <v>130</v>
      </c>
      <c r="W91" s="47"/>
      <c r="X91" s="47"/>
      <c r="Y91" s="47"/>
      <c r="Z91" s="47"/>
      <c r="AA91" s="47"/>
      <c r="AB91" s="47"/>
      <c r="AC91" s="47"/>
      <c r="AD91" s="47"/>
      <c r="AE91" s="47"/>
      <c r="AF91" s="47"/>
      <c r="AG91" s="47"/>
      <c r="AH91" s="47"/>
      <c r="AI91" s="47"/>
    </row>
    <row r="92" spans="2:35" ht="14" hidden="1" x14ac:dyDescent="0.2">
      <c r="B92" s="47" t="s">
        <v>135</v>
      </c>
      <c r="C92" s="62">
        <v>45234</v>
      </c>
      <c r="D92" s="47" t="s">
        <v>41</v>
      </c>
      <c r="E92" s="48">
        <v>1.044</v>
      </c>
      <c r="F92" s="47">
        <v>397</v>
      </c>
      <c r="G92" s="47"/>
      <c r="H92" s="49">
        <v>27.25</v>
      </c>
      <c r="I92" s="49"/>
      <c r="J92" s="49"/>
      <c r="K92" s="49"/>
      <c r="L92" s="49"/>
      <c r="M92" s="63"/>
      <c r="N92" s="63"/>
      <c r="O92" s="47"/>
      <c r="P92" s="47"/>
      <c r="Q92" s="47"/>
      <c r="R92" s="51"/>
      <c r="S92" s="47"/>
      <c r="T92" s="47"/>
      <c r="U92" s="51"/>
      <c r="V92" s="51" t="s">
        <v>130</v>
      </c>
      <c r="W92" s="47"/>
      <c r="X92" s="47"/>
      <c r="Y92" s="47"/>
      <c r="Z92" s="47"/>
      <c r="AA92" s="47"/>
      <c r="AB92" s="47"/>
      <c r="AC92" s="47"/>
      <c r="AD92" s="47"/>
      <c r="AE92" s="47"/>
      <c r="AF92" s="47"/>
      <c r="AG92" s="47"/>
      <c r="AH92" s="47"/>
      <c r="AI92" s="47"/>
    </row>
    <row r="93" spans="2:35" ht="14" hidden="1" x14ac:dyDescent="0.2">
      <c r="B93" s="47" t="s">
        <v>136</v>
      </c>
      <c r="C93" s="62">
        <v>45234</v>
      </c>
      <c r="D93" s="47" t="s">
        <v>41</v>
      </c>
      <c r="E93" s="48">
        <v>0.97799999999999998</v>
      </c>
      <c r="F93" s="47">
        <v>344</v>
      </c>
      <c r="G93" s="47"/>
      <c r="H93" s="49">
        <f>3.5+12+12</f>
        <v>27.5</v>
      </c>
      <c r="I93" s="49"/>
      <c r="J93" s="49"/>
      <c r="K93" s="49"/>
      <c r="L93" s="49"/>
      <c r="M93" s="63"/>
      <c r="N93" s="63"/>
      <c r="O93" s="47"/>
      <c r="P93" s="47"/>
      <c r="Q93" s="47"/>
      <c r="R93" s="51"/>
      <c r="S93" s="47"/>
      <c r="T93" s="47"/>
      <c r="U93" s="51"/>
      <c r="V93" s="51" t="s">
        <v>130</v>
      </c>
      <c r="W93" s="47"/>
      <c r="X93" s="47"/>
      <c r="Y93" s="47"/>
      <c r="Z93" s="47"/>
      <c r="AA93" s="47"/>
      <c r="AB93" s="47"/>
      <c r="AC93" s="47"/>
      <c r="AD93" s="47"/>
      <c r="AE93" s="47"/>
      <c r="AF93" s="47"/>
      <c r="AG93" s="47"/>
      <c r="AH93" s="47"/>
      <c r="AI93" s="47"/>
    </row>
    <row r="94" spans="2:35" ht="14" hidden="1" x14ac:dyDescent="0.2">
      <c r="B94" s="47" t="s">
        <v>137</v>
      </c>
      <c r="C94" s="62">
        <v>45235</v>
      </c>
      <c r="D94" s="47" t="s">
        <v>41</v>
      </c>
      <c r="E94" s="48">
        <v>0.94299999999999995</v>
      </c>
      <c r="F94" s="47">
        <v>473</v>
      </c>
      <c r="G94" s="47"/>
      <c r="H94" s="49">
        <v>27.75</v>
      </c>
      <c r="I94" s="49"/>
      <c r="J94" s="49">
        <v>458.89</v>
      </c>
      <c r="K94" s="49">
        <v>456.71</v>
      </c>
      <c r="L94" s="49">
        <f>J94-K94</f>
        <v>2.1800000000000068</v>
      </c>
      <c r="M94" s="63">
        <v>28.510100000000001</v>
      </c>
      <c r="N94" s="63">
        <v>14.6853</v>
      </c>
      <c r="O94" s="50">
        <f>((1000+M94)/$R$22)-1000</f>
        <v>18.48837140356261</v>
      </c>
      <c r="P94" s="50">
        <f>((1000+N94)/$U$22)-1000</f>
        <v>9.5428190085955293</v>
      </c>
      <c r="Q94" s="63">
        <f>1000*(LN(P94/1000+1))</f>
        <v>9.4975739272826161</v>
      </c>
      <c r="R94" s="93">
        <f>1000*(LN(O94/1000+1))</f>
        <v>18.319539244544863</v>
      </c>
      <c r="S94" s="63">
        <f>Q94-0.528*R94</f>
        <v>-0.17514279383707176</v>
      </c>
      <c r="T94" s="47">
        <v>1</v>
      </c>
      <c r="U94" s="150">
        <f>(O94-30.91)/1.03091</f>
        <v>-12.049188189499947</v>
      </c>
      <c r="V94" s="51"/>
      <c r="W94" s="47"/>
      <c r="X94" s="47"/>
      <c r="Y94" s="47"/>
      <c r="Z94" s="47"/>
      <c r="AA94" s="47"/>
      <c r="AB94" s="47"/>
      <c r="AC94" s="47"/>
      <c r="AD94" s="47"/>
      <c r="AE94" s="47"/>
      <c r="AF94" s="47"/>
      <c r="AG94" s="47"/>
      <c r="AH94" s="47"/>
      <c r="AI94" s="47"/>
    </row>
    <row r="95" spans="2:35" ht="14" hidden="1" x14ac:dyDescent="0.2">
      <c r="B95" s="47" t="s">
        <v>138</v>
      </c>
      <c r="C95" s="62">
        <v>45235</v>
      </c>
      <c r="D95" s="47" t="s">
        <v>41</v>
      </c>
      <c r="E95" s="48">
        <v>0.94699999999999995</v>
      </c>
      <c r="F95" s="47">
        <v>657</v>
      </c>
      <c r="G95" s="47"/>
      <c r="H95" s="49">
        <f>3.5+24+1.25</f>
        <v>28.75</v>
      </c>
      <c r="I95" s="49"/>
      <c r="J95" s="49"/>
      <c r="K95" s="49"/>
      <c r="L95" s="49"/>
      <c r="M95" s="63"/>
      <c r="N95" s="63"/>
      <c r="O95" s="50"/>
      <c r="P95" s="50"/>
      <c r="Q95" s="63"/>
      <c r="R95" s="93"/>
      <c r="S95" s="63"/>
      <c r="T95" s="47"/>
      <c r="U95" s="51"/>
      <c r="V95" s="51" t="s">
        <v>139</v>
      </c>
      <c r="W95" s="47"/>
      <c r="X95" s="47"/>
      <c r="Y95" s="47"/>
      <c r="Z95" s="47"/>
      <c r="AA95" s="47"/>
      <c r="AB95" s="47"/>
      <c r="AC95" s="47"/>
      <c r="AD95" s="47"/>
      <c r="AE95" s="47"/>
      <c r="AF95" s="47"/>
      <c r="AG95" s="47"/>
      <c r="AH95" s="47"/>
      <c r="AI95" s="47"/>
    </row>
    <row r="96" spans="2:35" ht="14" hidden="1" x14ac:dyDescent="0.2">
      <c r="B96" s="47" t="s">
        <v>122</v>
      </c>
      <c r="C96" s="62">
        <v>45235</v>
      </c>
      <c r="D96" s="47" t="s">
        <v>41</v>
      </c>
      <c r="E96" s="48"/>
      <c r="F96" s="47">
        <v>580</v>
      </c>
      <c r="G96" s="47"/>
      <c r="H96" s="49"/>
      <c r="I96" s="49"/>
      <c r="J96" s="49">
        <v>458.39</v>
      </c>
      <c r="K96" s="49">
        <v>456.48</v>
      </c>
      <c r="L96" s="49">
        <f t="shared" ref="L96:L115" si="127">J96-K96</f>
        <v>1.9099999999999682</v>
      </c>
      <c r="M96" s="63">
        <v>30.104800000000001</v>
      </c>
      <c r="N96" s="63">
        <v>15.575699999999999</v>
      </c>
      <c r="O96" s="50">
        <f>((1000+M96)/$R$22)-1000</f>
        <v>20.06753276121708</v>
      </c>
      <c r="P96" s="50">
        <f t="shared" ref="P96:P102" si="128">((1000+N96)/$U$22)-1000</f>
        <v>10.428706412350493</v>
      </c>
      <c r="Q96" s="63">
        <f>1000*(LN(P96/1000+1))</f>
        <v>10.374702589150401</v>
      </c>
      <c r="R96" s="93">
        <f t="shared" ref="R96:R102" si="129">1000*(LN(O96/1000+1))</f>
        <v>19.868833693916205</v>
      </c>
      <c r="S96" s="63">
        <f>Q96-0.528*R96</f>
        <v>-0.11604160123735596</v>
      </c>
      <c r="T96" s="47"/>
      <c r="U96" s="150">
        <f t="shared" ref="U96:U102" si="130">(O96-30.91)/1.03091</f>
        <v>-10.517375172209912</v>
      </c>
      <c r="V96" s="51" t="s">
        <v>140</v>
      </c>
      <c r="W96" s="47"/>
      <c r="X96" s="47"/>
      <c r="Y96" s="47"/>
      <c r="Z96" s="47"/>
      <c r="AA96" s="47"/>
      <c r="AB96" s="47"/>
      <c r="AC96" s="47"/>
      <c r="AD96" s="47"/>
      <c r="AE96" s="47"/>
      <c r="AF96" s="47"/>
      <c r="AG96" s="47"/>
      <c r="AH96" s="47"/>
      <c r="AI96" s="47"/>
    </row>
    <row r="97" spans="2:35" ht="14" hidden="1" x14ac:dyDescent="0.2">
      <c r="B97" s="47" t="s">
        <v>122</v>
      </c>
      <c r="C97" s="62">
        <v>45235</v>
      </c>
      <c r="D97" s="47" t="s">
        <v>41</v>
      </c>
      <c r="E97" s="48"/>
      <c r="F97" s="47">
        <v>564</v>
      </c>
      <c r="G97" s="47"/>
      <c r="H97" s="49"/>
      <c r="I97" s="49"/>
      <c r="J97" s="49">
        <v>459.91</v>
      </c>
      <c r="K97" s="49">
        <v>456.73</v>
      </c>
      <c r="L97" s="49">
        <f t="shared" si="127"/>
        <v>3.1800000000000068</v>
      </c>
      <c r="M97" s="63">
        <v>30.103100000000001</v>
      </c>
      <c r="N97" s="63">
        <v>15.6251</v>
      </c>
      <c r="O97" s="50">
        <f t="shared" ref="O97:O102" si="131">((1000+M97)/$R$22)-1000</f>
        <v>20.065849325895101</v>
      </c>
      <c r="P97" s="50">
        <f>((1000+N97)/$U$22)-1000</f>
        <v>10.477856050429409</v>
      </c>
      <c r="Q97" s="63">
        <f t="shared" ref="Q97:Q107" si="132">1000*(LN(P97/1000+1))</f>
        <v>10.423343767324218</v>
      </c>
      <c r="R97" s="93">
        <f t="shared" si="129"/>
        <v>19.867183375033534</v>
      </c>
      <c r="S97" s="63">
        <f>Q97-0.528*R97</f>
        <v>-6.6529054693488021E-2</v>
      </c>
      <c r="T97" s="47"/>
      <c r="U97" s="150">
        <f t="shared" si="130"/>
        <v>-10.519008132722448</v>
      </c>
      <c r="V97" s="51" t="s">
        <v>141</v>
      </c>
      <c r="W97" s="47"/>
      <c r="X97" s="47"/>
      <c r="Y97" s="47"/>
      <c r="Z97" s="47"/>
      <c r="AA97" s="47"/>
      <c r="AB97" s="47"/>
      <c r="AC97" s="47"/>
      <c r="AD97" s="47"/>
      <c r="AE97" s="47"/>
      <c r="AF97" s="47"/>
      <c r="AG97" s="47"/>
      <c r="AH97" s="47"/>
      <c r="AI97" s="47"/>
    </row>
    <row r="98" spans="2:35" ht="14" hidden="1" x14ac:dyDescent="0.2">
      <c r="B98" s="47" t="s">
        <v>142</v>
      </c>
      <c r="C98" s="62">
        <v>45235</v>
      </c>
      <c r="D98" s="47" t="s">
        <v>143</v>
      </c>
      <c r="E98" s="48">
        <v>1.163</v>
      </c>
      <c r="F98" s="47">
        <v>594</v>
      </c>
      <c r="G98" s="47"/>
      <c r="H98" s="49">
        <v>7.75</v>
      </c>
      <c r="I98" s="49"/>
      <c r="J98" s="49">
        <v>459.64</v>
      </c>
      <c r="K98" s="49">
        <v>456.27</v>
      </c>
      <c r="L98" s="49">
        <f t="shared" si="127"/>
        <v>3.3700000000000045</v>
      </c>
      <c r="M98" s="63">
        <v>29.298500000000001</v>
      </c>
      <c r="N98" s="63">
        <v>15.0661</v>
      </c>
      <c r="O98" s="50">
        <f t="shared" si="131"/>
        <v>19.269089290547527</v>
      </c>
      <c r="P98" s="50">
        <f t="shared" si="128"/>
        <v>9.9216890932203796</v>
      </c>
      <c r="Q98" s="63">
        <f t="shared" si="132"/>
        <v>9.8727922958648442</v>
      </c>
      <c r="R98" s="93">
        <f t="shared" si="129"/>
        <v>19.085791303726047</v>
      </c>
      <c r="S98" s="63">
        <f t="shared" ref="S98:S102" si="133">Q98-0.528*R98</f>
        <v>-0.20450551250250903</v>
      </c>
      <c r="T98" s="47">
        <v>1</v>
      </c>
      <c r="U98" s="150">
        <f t="shared" si="130"/>
        <v>-11.291878737671061</v>
      </c>
      <c r="V98" s="51" t="s">
        <v>144</v>
      </c>
      <c r="W98" s="47"/>
      <c r="X98" s="47"/>
      <c r="Y98" s="47"/>
      <c r="Z98" s="47"/>
      <c r="AA98" s="47"/>
      <c r="AB98" s="47"/>
      <c r="AC98" s="47"/>
      <c r="AD98" s="47"/>
      <c r="AE98" s="47"/>
      <c r="AF98" s="47"/>
      <c r="AG98" s="47"/>
      <c r="AH98" s="47"/>
      <c r="AI98" s="47"/>
    </row>
    <row r="99" spans="2:35" ht="14" hidden="1" x14ac:dyDescent="0.2">
      <c r="B99" s="47" t="s">
        <v>145</v>
      </c>
      <c r="C99" s="62">
        <v>45235</v>
      </c>
      <c r="D99" s="47" t="s">
        <v>44</v>
      </c>
      <c r="E99" s="48">
        <v>0.99199999999999999</v>
      </c>
      <c r="F99" s="47">
        <v>473</v>
      </c>
      <c r="G99" s="47"/>
      <c r="H99" s="49">
        <f>H98+1.25</f>
        <v>9</v>
      </c>
      <c r="I99" s="49"/>
      <c r="J99" s="49">
        <v>454.74</v>
      </c>
      <c r="K99" s="49">
        <v>455.99</v>
      </c>
      <c r="L99" s="49">
        <f t="shared" si="127"/>
        <v>-1.25</v>
      </c>
      <c r="M99" s="63">
        <v>30.368500000000001</v>
      </c>
      <c r="N99" s="63">
        <v>15.714399999999999</v>
      </c>
      <c r="O99" s="50">
        <f t="shared" si="131"/>
        <v>20.328663287343261</v>
      </c>
      <c r="P99" s="50">
        <f t="shared" si="128"/>
        <v>10.566703473110579</v>
      </c>
      <c r="Q99" s="63">
        <f t="shared" si="132"/>
        <v>10.511266047235932</v>
      </c>
      <c r="R99" s="93">
        <f t="shared" si="129"/>
        <v>20.124794303975744</v>
      </c>
      <c r="S99" s="63">
        <f t="shared" si="133"/>
        <v>-0.11462534526326174</v>
      </c>
      <c r="T99" s="47">
        <v>1</v>
      </c>
      <c r="U99" s="150">
        <f t="shared" si="130"/>
        <v>-10.264074179760348</v>
      </c>
      <c r="V99" s="51"/>
      <c r="W99" s="47"/>
      <c r="X99" s="47"/>
      <c r="Y99" s="47"/>
      <c r="Z99" s="47"/>
      <c r="AA99" s="47"/>
      <c r="AB99" s="47"/>
      <c r="AC99" s="47"/>
      <c r="AD99" s="47"/>
      <c r="AE99" s="47"/>
      <c r="AF99" s="47"/>
      <c r="AG99" s="47"/>
      <c r="AH99" s="47"/>
      <c r="AI99" s="47"/>
    </row>
    <row r="100" spans="2:35" ht="14" hidden="1" x14ac:dyDescent="0.2">
      <c r="B100" s="47" t="s">
        <v>146</v>
      </c>
      <c r="C100" s="62">
        <v>45235</v>
      </c>
      <c r="D100" s="47" t="s">
        <v>44</v>
      </c>
      <c r="E100" s="48">
        <v>1.113</v>
      </c>
      <c r="F100" s="47">
        <v>631</v>
      </c>
      <c r="G100" s="47"/>
      <c r="H100" s="49">
        <f t="shared" ref="H100:H102" si="134">H99+1.25</f>
        <v>10.25</v>
      </c>
      <c r="I100" s="49"/>
      <c r="J100" s="49">
        <v>459.86</v>
      </c>
      <c r="K100" s="49">
        <v>455.96</v>
      </c>
      <c r="L100" s="49">
        <f t="shared" si="127"/>
        <v>3.9000000000000341</v>
      </c>
      <c r="M100" s="63">
        <v>31.400099999999998</v>
      </c>
      <c r="N100" s="63">
        <v>16.192799999999998</v>
      </c>
      <c r="O100" s="50">
        <f t="shared" si="131"/>
        <v>21.350211450983011</v>
      </c>
      <c r="P100" s="50">
        <f t="shared" si="128"/>
        <v>11.04267891555935</v>
      </c>
      <c r="Q100" s="63">
        <f t="shared" si="132"/>
        <v>10.982153702774474</v>
      </c>
      <c r="R100" s="93">
        <f t="shared" si="129"/>
        <v>21.125488645800633</v>
      </c>
      <c r="S100" s="63">
        <f t="shared" si="133"/>
        <v>-0.17210430220826112</v>
      </c>
      <c r="T100" s="47">
        <v>1</v>
      </c>
      <c r="U100" s="150">
        <f t="shared" si="130"/>
        <v>-9.2731553181334831</v>
      </c>
      <c r="V100" s="51"/>
      <c r="W100" s="47"/>
      <c r="X100" s="47"/>
      <c r="Y100" s="47"/>
      <c r="Z100" s="47"/>
      <c r="AA100" s="47"/>
      <c r="AB100" s="47"/>
      <c r="AC100" s="47"/>
      <c r="AD100" s="47"/>
      <c r="AE100" s="47"/>
      <c r="AF100" s="47"/>
      <c r="AG100" s="47"/>
      <c r="AH100" s="47"/>
      <c r="AI100" s="47"/>
    </row>
    <row r="101" spans="2:35" ht="14" hidden="1" x14ac:dyDescent="0.2">
      <c r="B101" s="47" t="s">
        <v>147</v>
      </c>
      <c r="C101" s="62">
        <v>45235</v>
      </c>
      <c r="D101" s="47" t="s">
        <v>44</v>
      </c>
      <c r="E101" s="48">
        <v>0.98</v>
      </c>
      <c r="F101" s="47">
        <v>667</v>
      </c>
      <c r="G101" s="47"/>
      <c r="H101" s="49">
        <f t="shared" si="134"/>
        <v>11.5</v>
      </c>
      <c r="I101" s="49"/>
      <c r="J101" s="49">
        <v>457.67</v>
      </c>
      <c r="K101" s="49">
        <v>455.77</v>
      </c>
      <c r="L101" s="49">
        <f t="shared" si="127"/>
        <v>1.9000000000000341</v>
      </c>
      <c r="M101" s="63">
        <v>27.9438</v>
      </c>
      <c r="N101" s="63">
        <v>14.3531</v>
      </c>
      <c r="O101" s="50">
        <f t="shared" si="131"/>
        <v>17.927589390118328</v>
      </c>
      <c r="P101" s="50">
        <f t="shared" si="128"/>
        <v>9.2123026164939574</v>
      </c>
      <c r="Q101" s="63">
        <f t="shared" si="132"/>
        <v>9.1701281746855337</v>
      </c>
      <c r="R101" s="93">
        <f t="shared" si="129"/>
        <v>17.768785333343992</v>
      </c>
      <c r="S101" s="63">
        <f t="shared" si="133"/>
        <v>-0.2117904813200937</v>
      </c>
      <c r="T101" s="47">
        <v>1</v>
      </c>
      <c r="U101" s="150">
        <f t="shared" si="130"/>
        <v>-12.593156153186673</v>
      </c>
      <c r="V101" s="51"/>
      <c r="W101" s="47"/>
      <c r="X101" s="47"/>
      <c r="Y101" s="47"/>
      <c r="Z101" s="47"/>
      <c r="AA101" s="47"/>
      <c r="AB101" s="47"/>
      <c r="AC101" s="47"/>
      <c r="AD101" s="47"/>
      <c r="AE101" s="47"/>
      <c r="AF101" s="47"/>
      <c r="AG101" s="47"/>
      <c r="AH101" s="47"/>
      <c r="AI101" s="47"/>
    </row>
    <row r="102" spans="2:35" ht="14" hidden="1" x14ac:dyDescent="0.2">
      <c r="B102" s="47" t="s">
        <v>148</v>
      </c>
      <c r="C102" s="62">
        <v>45235</v>
      </c>
      <c r="D102" s="47" t="s">
        <v>149</v>
      </c>
      <c r="E102" s="48">
        <v>1.0640000000000001</v>
      </c>
      <c r="F102" s="47">
        <v>772</v>
      </c>
      <c r="G102" s="47"/>
      <c r="H102" s="49">
        <f t="shared" si="134"/>
        <v>12.75</v>
      </c>
      <c r="I102" s="49"/>
      <c r="J102" s="49">
        <v>459.97</v>
      </c>
      <c r="K102" s="49">
        <v>456.56</v>
      </c>
      <c r="L102" s="49">
        <f t="shared" si="127"/>
        <v>3.410000000000025</v>
      </c>
      <c r="M102" s="63">
        <v>28.7959</v>
      </c>
      <c r="N102" s="63">
        <v>14.7485</v>
      </c>
      <c r="O102" s="50">
        <f t="shared" si="131"/>
        <v>18.771386588875089</v>
      </c>
      <c r="P102" s="50">
        <f t="shared" si="128"/>
        <v>9.6056987075144207</v>
      </c>
      <c r="Q102" s="63">
        <f t="shared" si="132"/>
        <v>9.5598573090026271</v>
      </c>
      <c r="R102" s="93">
        <f t="shared" si="129"/>
        <v>18.597378323260941</v>
      </c>
      <c r="S102" s="63">
        <f t="shared" si="133"/>
        <v>-0.25955844567915065</v>
      </c>
      <c r="T102" s="47">
        <v>1</v>
      </c>
      <c r="U102" s="150">
        <f t="shared" si="130"/>
        <v>-11.774658710386854</v>
      </c>
      <c r="V102" s="51"/>
      <c r="W102" s="47"/>
      <c r="X102" s="47"/>
      <c r="Y102" s="47"/>
      <c r="Z102" s="47"/>
      <c r="AA102" s="47"/>
      <c r="AB102" s="47"/>
      <c r="AC102" s="47"/>
      <c r="AD102" s="47"/>
      <c r="AE102" s="47"/>
      <c r="AF102" s="47"/>
      <c r="AG102" s="47"/>
      <c r="AH102" s="47"/>
      <c r="AI102" s="47"/>
    </row>
    <row r="103" spans="2:35" ht="14" hidden="1" x14ac:dyDescent="0.2">
      <c r="B103" s="47" t="s">
        <v>150</v>
      </c>
      <c r="C103" s="62">
        <v>45235</v>
      </c>
      <c r="D103" s="47" t="s">
        <v>53</v>
      </c>
      <c r="E103" s="48">
        <v>1.014</v>
      </c>
      <c r="F103" s="47">
        <v>424</v>
      </c>
      <c r="G103" s="47"/>
      <c r="H103" s="49"/>
      <c r="I103" s="49"/>
      <c r="J103" s="49"/>
      <c r="K103" s="49"/>
      <c r="L103" s="49"/>
      <c r="M103" s="63"/>
      <c r="N103" s="63"/>
      <c r="O103" s="50"/>
      <c r="P103" s="50"/>
      <c r="Q103" s="63"/>
      <c r="R103" s="93"/>
      <c r="S103" s="63"/>
      <c r="T103" s="47"/>
      <c r="U103" s="51"/>
      <c r="V103" s="51"/>
      <c r="W103" s="47"/>
      <c r="X103" s="47"/>
      <c r="Y103" s="47"/>
      <c r="Z103" s="47"/>
      <c r="AA103" s="47"/>
      <c r="AB103" s="47"/>
      <c r="AC103" s="47"/>
      <c r="AD103" s="47"/>
      <c r="AE103" s="47"/>
      <c r="AF103" s="47"/>
      <c r="AG103" s="47"/>
      <c r="AH103" s="47"/>
      <c r="AI103" s="47"/>
    </row>
    <row r="104" spans="2:35" ht="14" hidden="1" x14ac:dyDescent="0.2">
      <c r="B104" s="47" t="s">
        <v>151</v>
      </c>
      <c r="C104" s="62">
        <v>45235</v>
      </c>
      <c r="D104" s="47" t="s">
        <v>53</v>
      </c>
      <c r="E104" s="48">
        <v>1.0780000000000001</v>
      </c>
      <c r="F104" s="47">
        <v>486</v>
      </c>
      <c r="G104" s="47"/>
      <c r="H104" s="49">
        <v>15.04</v>
      </c>
      <c r="I104" s="49"/>
      <c r="J104" s="49">
        <v>459.25</v>
      </c>
      <c r="K104" s="49">
        <v>456.98</v>
      </c>
      <c r="L104" s="49">
        <f t="shared" si="127"/>
        <v>2.2699999999999818</v>
      </c>
      <c r="M104" s="63">
        <v>29.645</v>
      </c>
      <c r="N104" s="63">
        <v>15.1852</v>
      </c>
      <c r="O104" s="50">
        <f t="shared" ref="O104" si="135">((1000+M104)/$R$22)-1000</f>
        <v>19.612213019416345</v>
      </c>
      <c r="P104" s="50">
        <f t="shared" ref="P104" si="136">((1000+N104)/$U$22)-1000</f>
        <v>10.040185487860072</v>
      </c>
      <c r="Q104" s="63">
        <f>1000*(LN(P104/1000+1))</f>
        <v>9.9901176734046366</v>
      </c>
      <c r="R104" s="93">
        <f t="shared" ref="R104" si="137">1000*(LN(O104/1000+1))</f>
        <v>19.422371693883353</v>
      </c>
      <c r="S104" s="63">
        <f t="shared" ref="S104" si="138">Q104-0.528*R104</f>
        <v>-0.26489458096577323</v>
      </c>
      <c r="T104" s="47">
        <v>1</v>
      </c>
      <c r="U104" s="150">
        <f>(O104-30.91)/1.03091</f>
        <v>-10.959042962609399</v>
      </c>
      <c r="V104" s="51"/>
      <c r="W104" s="47"/>
      <c r="X104" s="47"/>
      <c r="Y104" s="47"/>
      <c r="Z104" s="47"/>
      <c r="AA104" s="47"/>
      <c r="AB104" s="47"/>
      <c r="AC104" s="47"/>
      <c r="AD104" s="47"/>
      <c r="AE104" s="47"/>
      <c r="AF104" s="47"/>
      <c r="AG104" s="47"/>
      <c r="AH104" s="47"/>
      <c r="AI104" s="47"/>
    </row>
    <row r="105" spans="2:35" ht="14" hidden="1" x14ac:dyDescent="0.2">
      <c r="B105" s="47" t="s">
        <v>152</v>
      </c>
      <c r="C105" s="62">
        <v>45235</v>
      </c>
      <c r="D105" s="47" t="s">
        <v>53</v>
      </c>
      <c r="E105" s="48">
        <v>0.96199999999999997</v>
      </c>
      <c r="F105" s="47">
        <v>417</v>
      </c>
      <c r="G105" s="47"/>
      <c r="H105" s="49">
        <v>16.170000000000002</v>
      </c>
      <c r="I105" s="49"/>
      <c r="J105" s="49"/>
      <c r="K105" s="49"/>
      <c r="L105" s="49"/>
      <c r="M105" s="63"/>
      <c r="N105" s="63"/>
      <c r="O105" s="50"/>
      <c r="P105" s="50"/>
      <c r="Q105" s="63"/>
      <c r="R105" s="93"/>
      <c r="S105" s="63"/>
      <c r="T105" s="47"/>
      <c r="U105" s="51"/>
      <c r="V105" s="51"/>
      <c r="W105" s="47"/>
      <c r="X105" s="47"/>
      <c r="Y105" s="47"/>
      <c r="Z105" s="47"/>
      <c r="AA105" s="47"/>
      <c r="AB105" s="47"/>
      <c r="AC105" s="47"/>
      <c r="AD105" s="47"/>
      <c r="AE105" s="47"/>
      <c r="AF105" s="47"/>
      <c r="AG105" s="47"/>
      <c r="AH105" s="47"/>
      <c r="AI105" s="47"/>
    </row>
    <row r="106" spans="2:35" ht="14" hidden="1" x14ac:dyDescent="0.2">
      <c r="B106" s="47" t="s">
        <v>153</v>
      </c>
      <c r="C106" s="62">
        <v>45235</v>
      </c>
      <c r="D106" s="47" t="s">
        <v>53</v>
      </c>
      <c r="E106" s="48">
        <v>1.0580000000000001</v>
      </c>
      <c r="F106" s="47">
        <v>492</v>
      </c>
      <c r="G106" s="47"/>
      <c r="H106" s="49">
        <v>16.350000000000001</v>
      </c>
      <c r="I106" s="49"/>
      <c r="J106" s="49">
        <v>459.83</v>
      </c>
      <c r="K106" s="49">
        <v>456.56</v>
      </c>
      <c r="L106" s="49">
        <f t="shared" si="127"/>
        <v>3.2699999999999818</v>
      </c>
      <c r="M106" s="63">
        <v>29.138500000000001</v>
      </c>
      <c r="N106" s="63">
        <v>14.919700000000001</v>
      </c>
      <c r="O106" s="50">
        <f t="shared" ref="O106" si="139">((1000+M106)/$R$22)-1000</f>
        <v>19.110648319064012</v>
      </c>
      <c r="P106" s="50">
        <f t="shared" ref="P106" si="140">((1000+N106)/$U$22)-1000</f>
        <v>9.7760310564843849</v>
      </c>
      <c r="Q106" s="63">
        <f t="shared" si="132"/>
        <v>9.7285548334610326</v>
      </c>
      <c r="R106" s="93">
        <f t="shared" ref="R106" si="141">1000*(LN(O106/1000+1))</f>
        <v>18.930333545900666</v>
      </c>
      <c r="S106" s="63">
        <f t="shared" ref="S106" si="142">Q106-0.528*R106</f>
        <v>-0.26666127877451906</v>
      </c>
      <c r="T106" s="47">
        <v>1</v>
      </c>
      <c r="U106" s="150">
        <f>(O106-30.91)/1.03091</f>
        <v>-11.44556913885401</v>
      </c>
      <c r="V106" s="51"/>
      <c r="W106" s="47"/>
      <c r="X106" s="47"/>
      <c r="Y106" s="47"/>
      <c r="Z106" s="47"/>
      <c r="AA106" s="47"/>
      <c r="AB106" s="47"/>
      <c r="AC106" s="47"/>
      <c r="AD106" s="47"/>
      <c r="AE106" s="47"/>
      <c r="AF106" s="47"/>
      <c r="AG106" s="47"/>
      <c r="AH106" s="47"/>
      <c r="AI106" s="47"/>
    </row>
    <row r="107" spans="2:35" ht="14" hidden="1" x14ac:dyDescent="0.2">
      <c r="B107" s="47" t="s">
        <v>154</v>
      </c>
      <c r="C107" s="62">
        <v>45235</v>
      </c>
      <c r="D107" s="47" t="s">
        <v>53</v>
      </c>
      <c r="E107" s="48">
        <v>1.04</v>
      </c>
      <c r="F107" s="47">
        <v>647</v>
      </c>
      <c r="G107" s="47"/>
      <c r="H107" s="49">
        <v>17.37</v>
      </c>
      <c r="I107" s="49"/>
      <c r="J107" s="49">
        <v>460.32</v>
      </c>
      <c r="K107" s="49">
        <v>456.98</v>
      </c>
      <c r="L107" s="49">
        <f t="shared" si="127"/>
        <v>3.339999999999975</v>
      </c>
      <c r="M107" s="63">
        <v>26.717099999999999</v>
      </c>
      <c r="N107" s="63">
        <v>13.6538</v>
      </c>
      <c r="O107" s="50">
        <f t="shared" ref="O107" si="143">((1000+M107)/$R$22)-1000</f>
        <v>16.712842266876009</v>
      </c>
      <c r="P107" s="50">
        <f t="shared" ref="P107" si="144">((1000+N107)/$U$22)-1000</f>
        <v>8.5165467074128856</v>
      </c>
      <c r="Q107" s="63">
        <f t="shared" si="132"/>
        <v>8.4804855233553909</v>
      </c>
      <c r="R107" s="93">
        <f t="shared" ref="R107" si="145">1000*(LN(O107/1000+1))</f>
        <v>16.574719542972932</v>
      </c>
      <c r="S107" s="63">
        <f t="shared" ref="S107" si="146">Q107-0.528*R107</f>
        <v>-0.27096639533431777</v>
      </c>
      <c r="T107" s="47">
        <v>1</v>
      </c>
      <c r="U107" s="150">
        <f>(O107-30.91)/1.03091</f>
        <v>-13.771481247755856</v>
      </c>
      <c r="V107" s="47" t="s">
        <v>155</v>
      </c>
      <c r="W107" s="47"/>
      <c r="X107" s="47"/>
      <c r="Y107" s="47"/>
      <c r="Z107" s="47"/>
      <c r="AA107" s="47"/>
      <c r="AB107" s="47"/>
      <c r="AC107" s="47"/>
      <c r="AD107" s="47"/>
      <c r="AE107" s="47"/>
      <c r="AF107" s="47"/>
      <c r="AG107" s="47"/>
      <c r="AH107" s="47"/>
      <c r="AI107" s="47"/>
    </row>
    <row r="108" spans="2:35" ht="14" hidden="1" x14ac:dyDescent="0.2">
      <c r="B108" s="47" t="s">
        <v>156</v>
      </c>
      <c r="C108" s="62">
        <v>45235</v>
      </c>
      <c r="D108" s="47" t="s">
        <v>53</v>
      </c>
      <c r="E108" s="48">
        <v>1.125</v>
      </c>
      <c r="F108" s="47"/>
      <c r="G108" s="47"/>
      <c r="H108" s="49">
        <v>21.03</v>
      </c>
      <c r="I108" s="49"/>
      <c r="J108" s="49"/>
      <c r="K108" s="49"/>
      <c r="L108" s="49"/>
      <c r="M108" s="63"/>
      <c r="N108" s="63"/>
      <c r="O108" s="50"/>
      <c r="P108" s="50"/>
      <c r="Q108" s="63"/>
      <c r="R108" s="93"/>
      <c r="S108" s="63"/>
      <c r="T108" s="47"/>
      <c r="U108" s="51"/>
      <c r="V108" s="51" t="s">
        <v>71</v>
      </c>
      <c r="W108" s="47"/>
      <c r="X108" s="47"/>
      <c r="Y108" s="47"/>
      <c r="Z108" s="47"/>
      <c r="AA108" s="47"/>
      <c r="AB108" s="47"/>
      <c r="AC108" s="47"/>
      <c r="AD108" s="47"/>
      <c r="AE108" s="47"/>
      <c r="AF108" s="47"/>
      <c r="AG108" s="47"/>
      <c r="AH108" s="47"/>
      <c r="AI108" s="47"/>
    </row>
    <row r="109" spans="2:35" ht="14" hidden="1" x14ac:dyDescent="0.2">
      <c r="B109" s="47" t="s">
        <v>157</v>
      </c>
      <c r="C109" s="62">
        <v>45235</v>
      </c>
      <c r="D109" s="47" t="s">
        <v>53</v>
      </c>
      <c r="E109" s="48">
        <v>1.008</v>
      </c>
      <c r="F109" s="47">
        <v>489</v>
      </c>
      <c r="G109" s="47"/>
      <c r="H109" s="49">
        <v>21.22</v>
      </c>
      <c r="I109" s="49"/>
      <c r="J109" s="49">
        <v>456.97</v>
      </c>
      <c r="K109" s="49">
        <v>455.9</v>
      </c>
      <c r="L109" s="49">
        <f t="shared" si="127"/>
        <v>1.07000000000005</v>
      </c>
      <c r="M109" s="63">
        <v>22.897400000000001</v>
      </c>
      <c r="N109" s="63">
        <v>12.1221</v>
      </c>
      <c r="O109" s="50">
        <f t="shared" ref="O109" si="147">((1000+M109)/$R$22)-1000</f>
        <v>12.93036114952929</v>
      </c>
      <c r="P109" s="50">
        <f t="shared" ref="P109" si="148">((1000+N109)/$U$22)-1000</f>
        <v>6.9926094473820513</v>
      </c>
      <c r="Q109" s="63">
        <f t="shared" ref="Q109" si="149">1000*(LN(P109/1000+1))</f>
        <v>6.9682745311239298</v>
      </c>
      <c r="R109" s="93">
        <f t="shared" ref="R109" si="150">1000*(LN(O109/1000+1))</f>
        <v>12.847477740142079</v>
      </c>
      <c r="S109" s="63">
        <f t="shared" ref="S109" si="151">Q109-0.528*R109</f>
        <v>0.18480628432891155</v>
      </c>
      <c r="T109" s="47"/>
      <c r="U109" s="150">
        <f>(O109-30.91)/1.03091</f>
        <v>-17.440551406495921</v>
      </c>
      <c r="V109" s="51" t="s">
        <v>158</v>
      </c>
      <c r="W109" s="47"/>
      <c r="X109" s="47"/>
      <c r="Y109" s="47"/>
      <c r="Z109" s="47"/>
      <c r="AA109" s="47"/>
      <c r="AB109" s="47"/>
      <c r="AC109" s="47"/>
      <c r="AD109" s="47"/>
      <c r="AE109" s="47"/>
      <c r="AF109" s="47"/>
      <c r="AG109" s="47"/>
      <c r="AH109" s="47"/>
      <c r="AI109" s="47"/>
    </row>
    <row r="110" spans="2:35" ht="14" hidden="1" x14ac:dyDescent="0.2">
      <c r="B110" s="47" t="s">
        <v>159</v>
      </c>
      <c r="C110" s="62">
        <v>45236</v>
      </c>
      <c r="D110" s="47" t="s">
        <v>41</v>
      </c>
      <c r="E110" s="48">
        <v>1.141</v>
      </c>
      <c r="F110" s="47">
        <v>600</v>
      </c>
      <c r="G110" s="67">
        <v>1.0416666666666666E-2</v>
      </c>
      <c r="H110" s="49">
        <f>12+1+12+0.25</f>
        <v>25.25</v>
      </c>
      <c r="I110" s="49"/>
      <c r="J110" s="49">
        <v>459.29</v>
      </c>
      <c r="K110" s="49">
        <v>455.73</v>
      </c>
      <c r="L110" s="49">
        <f t="shared" si="127"/>
        <v>3.5600000000000023</v>
      </c>
      <c r="M110" s="63">
        <v>28.782</v>
      </c>
      <c r="N110" s="63">
        <v>14.7372</v>
      </c>
      <c r="O110" s="50">
        <f t="shared" ref="O110" si="152">((1000+M110)/$R$22)-1000</f>
        <v>18.757622029477261</v>
      </c>
      <c r="P110" s="50">
        <f t="shared" ref="P110" si="153">((1000+N110)/$U$22)-1000</f>
        <v>9.5944559765368922</v>
      </c>
      <c r="Q110" s="63">
        <f>1000*(LN(P110/1000+1))</f>
        <v>9.5487214828176317</v>
      </c>
      <c r="R110" s="93">
        <f>1000*(LN(O110/1000+1))</f>
        <v>18.583867291673343</v>
      </c>
      <c r="S110" s="63">
        <f t="shared" ref="S110" si="154">Q110-0.528*R110</f>
        <v>-0.26356044718589366</v>
      </c>
      <c r="T110" s="47"/>
      <c r="U110" s="150">
        <f>(O110-30.91)/1.03091</f>
        <v>-11.788010563989815</v>
      </c>
      <c r="V110" s="51"/>
      <c r="W110" s="47"/>
      <c r="X110" s="47"/>
      <c r="Y110" s="47"/>
      <c r="Z110" s="47"/>
      <c r="AA110" s="47"/>
      <c r="AB110" s="47"/>
      <c r="AC110" s="47"/>
      <c r="AD110" s="47"/>
      <c r="AE110" s="47"/>
      <c r="AF110" s="47"/>
      <c r="AG110" s="47"/>
      <c r="AH110" s="47"/>
      <c r="AI110" s="47"/>
    </row>
    <row r="111" spans="2:35" ht="14" hidden="1" x14ac:dyDescent="0.2">
      <c r="B111" s="47" t="s">
        <v>160</v>
      </c>
      <c r="C111" s="62">
        <v>45236</v>
      </c>
      <c r="D111" s="47" t="s">
        <v>41</v>
      </c>
      <c r="E111" s="48" t="s">
        <v>161</v>
      </c>
      <c r="F111" s="47">
        <v>592</v>
      </c>
      <c r="G111" s="67">
        <v>6.25E-2</v>
      </c>
      <c r="H111" s="49">
        <f>12+1+12+1.5</f>
        <v>26.5</v>
      </c>
      <c r="I111" s="49"/>
      <c r="J111" s="49">
        <v>459.39</v>
      </c>
      <c r="K111" s="49">
        <v>455.79</v>
      </c>
      <c r="L111" s="49">
        <f t="shared" si="127"/>
        <v>3.5999999999999659</v>
      </c>
      <c r="M111" s="63">
        <v>23.593699999999998</v>
      </c>
      <c r="N111" s="63">
        <v>11.955399999999999</v>
      </c>
      <c r="O111" s="50">
        <f t="shared" ref="O111" si="155">((1000+M111)/$R$22)-1000</f>
        <v>13.619876452304084</v>
      </c>
      <c r="P111" s="50">
        <f t="shared" ref="P111" si="156">((1000+N111)/$U$22)-1000</f>
        <v>6.8267542921643098</v>
      </c>
      <c r="Q111" s="63">
        <f>1000*(LN(P111/1000+1))</f>
        <v>6.8035575176925649</v>
      </c>
      <c r="R111" s="93">
        <f>1000*(LN(O111/1000+1))</f>
        <v>13.52795959209733</v>
      </c>
      <c r="S111" s="63">
        <f t="shared" ref="S111" si="157">Q111-0.528*R111</f>
        <v>-0.33920514693482584</v>
      </c>
      <c r="T111" s="47"/>
      <c r="U111" s="150">
        <f>(O111-30.91)/1.03091</f>
        <v>-16.771709991847899</v>
      </c>
      <c r="V111" s="51" t="s">
        <v>162</v>
      </c>
      <c r="W111" s="47"/>
      <c r="X111" s="47"/>
      <c r="Y111" s="47"/>
      <c r="Z111" s="47"/>
      <c r="AA111" s="47"/>
      <c r="AB111" s="47"/>
      <c r="AC111" s="47"/>
      <c r="AD111" s="47"/>
      <c r="AE111" s="47"/>
      <c r="AF111" s="47"/>
      <c r="AG111" s="47"/>
      <c r="AH111" s="47"/>
      <c r="AI111" s="47"/>
    </row>
    <row r="112" spans="2:35" ht="14" hidden="1" x14ac:dyDescent="0.2">
      <c r="B112" s="47" t="s">
        <v>163</v>
      </c>
      <c r="C112" s="62">
        <v>45236</v>
      </c>
      <c r="D112" s="47" t="s">
        <v>41</v>
      </c>
      <c r="E112" s="48" t="s">
        <v>161</v>
      </c>
      <c r="F112" s="47">
        <v>320</v>
      </c>
      <c r="G112" s="67">
        <v>0.11458333333333333</v>
      </c>
      <c r="H112" s="49">
        <f>12+1+12+2.75</f>
        <v>27.75</v>
      </c>
      <c r="I112" s="49"/>
      <c r="J112" s="49"/>
      <c r="K112" s="49"/>
      <c r="L112" s="49"/>
      <c r="M112" s="63"/>
      <c r="N112" s="63"/>
      <c r="O112" s="47"/>
      <c r="P112" s="47"/>
      <c r="Q112" s="47"/>
      <c r="R112" s="51"/>
      <c r="S112" s="47"/>
      <c r="T112" s="47"/>
      <c r="U112" s="150"/>
      <c r="V112" s="51" t="s">
        <v>130</v>
      </c>
      <c r="W112" s="47"/>
      <c r="X112" s="47"/>
      <c r="Y112" s="47"/>
      <c r="Z112" s="47"/>
      <c r="AA112" s="47"/>
      <c r="AB112" s="47"/>
      <c r="AC112" s="47"/>
      <c r="AD112" s="47"/>
      <c r="AE112" s="47"/>
      <c r="AF112" s="47"/>
      <c r="AG112" s="47"/>
      <c r="AH112" s="47"/>
      <c r="AI112" s="47"/>
    </row>
    <row r="113" spans="1:35" ht="14" hidden="1" x14ac:dyDescent="0.2">
      <c r="A113" s="62"/>
      <c r="B113" s="47" t="s">
        <v>164</v>
      </c>
      <c r="C113" s="62">
        <v>45236</v>
      </c>
      <c r="D113" s="47" t="s">
        <v>41</v>
      </c>
      <c r="E113" s="48" t="s">
        <v>161</v>
      </c>
      <c r="F113" s="47">
        <v>523</v>
      </c>
      <c r="G113" s="67">
        <v>0.125</v>
      </c>
      <c r="H113" s="49">
        <f>12+1+12+3</f>
        <v>28</v>
      </c>
      <c r="I113" s="49"/>
      <c r="J113" s="49">
        <v>459.88</v>
      </c>
      <c r="K113" s="49">
        <v>455.86</v>
      </c>
      <c r="L113" s="49">
        <f t="shared" si="127"/>
        <v>4.0199999999999818</v>
      </c>
      <c r="M113" s="63">
        <v>28.350200000000001</v>
      </c>
      <c r="N113" s="63">
        <v>14.573700000000001</v>
      </c>
      <c r="O113" s="50">
        <f t="shared" ref="O113" si="158">((1000+M113)/$R$22)-1000</f>
        <v>18.330029457686351</v>
      </c>
      <c r="P113" s="50">
        <f t="shared" ref="P113" si="159">((1000+N113)/$U$22)-1000</f>
        <v>9.4317846035428374</v>
      </c>
      <c r="Q113" s="63">
        <f>1000*(LN(P113/1000+1))</f>
        <v>9.3875830388721635</v>
      </c>
      <c r="R113" s="93">
        <f>1000*(LN(O113/1000+1))</f>
        <v>18.164059555115106</v>
      </c>
      <c r="S113" s="63">
        <f t="shared" ref="S113" si="160">Q113-0.528*R113</f>
        <v>-0.20304040622861308</v>
      </c>
      <c r="T113" s="47"/>
      <c r="U113" s="51"/>
      <c r="V113" s="51"/>
      <c r="W113" s="47"/>
      <c r="X113" s="47"/>
      <c r="Y113" s="47"/>
      <c r="Z113" s="47"/>
      <c r="AA113" s="47"/>
      <c r="AB113" s="47"/>
      <c r="AC113" s="47"/>
      <c r="AD113" s="47"/>
      <c r="AE113" s="47"/>
      <c r="AF113" s="47"/>
      <c r="AG113" s="47"/>
      <c r="AH113" s="47"/>
      <c r="AI113" s="47"/>
    </row>
    <row r="114" spans="1:35" s="95" customFormat="1" ht="14" hidden="1" x14ac:dyDescent="0.2">
      <c r="A114" s="116"/>
      <c r="B114" s="94" t="s">
        <v>165</v>
      </c>
      <c r="C114" s="116">
        <v>45236</v>
      </c>
      <c r="D114" s="94" t="s">
        <v>41</v>
      </c>
      <c r="E114" s="117"/>
      <c r="F114" s="94">
        <v>533</v>
      </c>
      <c r="G114" s="127">
        <v>0.26041666666666669</v>
      </c>
      <c r="H114" s="96">
        <f>12+1+12+3.25</f>
        <v>28.25</v>
      </c>
      <c r="I114" s="96"/>
      <c r="J114" s="96">
        <v>457.64</v>
      </c>
      <c r="K114" s="96">
        <v>456.06</v>
      </c>
      <c r="L114" s="96">
        <f t="shared" si="127"/>
        <v>1.5799999999999841</v>
      </c>
      <c r="M114" s="97">
        <v>29.976700000000001</v>
      </c>
      <c r="N114" s="97">
        <v>15.6265</v>
      </c>
      <c r="O114" s="98">
        <f t="shared" ref="O114:O116" si="161">((1000+M114)/$R$22)-1000</f>
        <v>19.940680958422945</v>
      </c>
      <c r="P114" s="98">
        <f t="shared" ref="P114:P118" si="162">((1000+N114)/$U$22)-1000</f>
        <v>10.479248955152229</v>
      </c>
      <c r="Q114" s="97">
        <f t="shared" ref="Q114:Q120" si="163">1000*(LN(P114/1000+1))</f>
        <v>10.424722227776668</v>
      </c>
      <c r="R114" s="99">
        <f t="shared" ref="R114:R118" si="164">1000*(LN(O114/1000+1))</f>
        <v>19.744469681943794</v>
      </c>
      <c r="S114" s="97">
        <f t="shared" ref="S114:S118" si="165">Q114-0.528*R114</f>
        <v>-3.5776428965661466E-4</v>
      </c>
      <c r="T114" s="94"/>
      <c r="U114" s="151">
        <f t="shared" ref="U114:U115" si="166">(O114-30.91)/1.03091</f>
        <v>-10.640423549657152</v>
      </c>
      <c r="V114" s="94"/>
      <c r="W114" s="94"/>
      <c r="X114" s="94"/>
      <c r="Y114" s="94"/>
      <c r="Z114" s="94"/>
      <c r="AA114" s="94"/>
      <c r="AB114" s="94"/>
      <c r="AC114" s="94"/>
      <c r="AD114" s="94"/>
      <c r="AE114" s="94"/>
      <c r="AF114" s="94"/>
      <c r="AG114" s="94"/>
      <c r="AH114" s="94"/>
      <c r="AI114" s="94"/>
    </row>
    <row r="115" spans="1:35" s="95" customFormat="1" ht="14" hidden="1" x14ac:dyDescent="0.2">
      <c r="A115" s="116"/>
      <c r="B115" s="94" t="s">
        <v>166</v>
      </c>
      <c r="C115" s="116">
        <v>45236</v>
      </c>
      <c r="D115" s="94" t="s">
        <v>44</v>
      </c>
      <c r="E115" s="117"/>
      <c r="F115" s="94">
        <v>513</v>
      </c>
      <c r="G115" s="127">
        <v>0.30208333333333331</v>
      </c>
      <c r="H115" s="96">
        <f>12+1+12+4.5</f>
        <v>29.5</v>
      </c>
      <c r="I115" s="96"/>
      <c r="J115" s="96">
        <v>461.4</v>
      </c>
      <c r="K115" s="96">
        <v>455.89</v>
      </c>
      <c r="L115" s="96">
        <f t="shared" si="127"/>
        <v>5.5099999999999909</v>
      </c>
      <c r="M115" s="97">
        <v>30.546600000000002</v>
      </c>
      <c r="N115" s="97">
        <v>15.8847</v>
      </c>
      <c r="O115" s="98">
        <f t="shared" si="161"/>
        <v>20.505027893725696</v>
      </c>
      <c r="P115" s="98">
        <f t="shared" si="162"/>
        <v>10.736140383330053</v>
      </c>
      <c r="Q115" s="97">
        <f t="shared" si="163"/>
        <v>10.67891723432202</v>
      </c>
      <c r="R115" s="99">
        <f t="shared" si="164"/>
        <v>20.297630148056271</v>
      </c>
      <c r="S115" s="97">
        <f t="shared" si="165"/>
        <v>-3.8231483851692616E-2</v>
      </c>
      <c r="T115" s="94"/>
      <c r="U115" s="151">
        <f t="shared" si="166"/>
        <v>-10.092997551943723</v>
      </c>
      <c r="V115" s="94"/>
      <c r="W115" s="94"/>
      <c r="X115" s="94"/>
      <c r="Y115" s="94"/>
      <c r="Z115" s="94"/>
      <c r="AA115" s="94"/>
      <c r="AB115" s="94"/>
      <c r="AC115" s="94"/>
      <c r="AD115" s="94"/>
      <c r="AE115" s="94"/>
      <c r="AF115" s="94"/>
      <c r="AG115" s="94"/>
      <c r="AH115" s="94"/>
      <c r="AI115" s="94"/>
    </row>
    <row r="116" spans="1:35" ht="14" hidden="1" x14ac:dyDescent="0.2">
      <c r="A116" s="62"/>
      <c r="B116" s="47" t="s">
        <v>167</v>
      </c>
      <c r="C116" s="62">
        <v>45236</v>
      </c>
      <c r="D116" s="47" t="s">
        <v>44</v>
      </c>
      <c r="E116" s="48"/>
      <c r="F116" s="47"/>
      <c r="G116" s="67">
        <v>0.375</v>
      </c>
      <c r="H116" s="49">
        <f>12+1+12+5.75</f>
        <v>30.75</v>
      </c>
      <c r="I116" s="49"/>
      <c r="J116" s="49">
        <v>424.57</v>
      </c>
      <c r="K116" s="49">
        <v>455.79</v>
      </c>
      <c r="L116" s="49">
        <f>J116-K116</f>
        <v>-31.220000000000027</v>
      </c>
      <c r="M116" s="63">
        <v>28.3323</v>
      </c>
      <c r="N116" s="63">
        <v>14.447900000000001</v>
      </c>
      <c r="O116" s="50">
        <f t="shared" si="161"/>
        <v>18.3123038740016</v>
      </c>
      <c r="P116" s="50">
        <f t="shared" si="162"/>
        <v>9.3066221648721239</v>
      </c>
      <c r="Q116" s="63">
        <f t="shared" si="163"/>
        <v>9.2635823873648651</v>
      </c>
      <c r="R116" s="93">
        <f t="shared" si="164"/>
        <v>18.146652881989468</v>
      </c>
      <c r="S116" s="63">
        <f t="shared" si="165"/>
        <v>-0.31785033432557519</v>
      </c>
      <c r="T116" s="47"/>
      <c r="U116" s="150">
        <f>(O116-30.91)/1.03091</f>
        <v>-12.219976647814455</v>
      </c>
      <c r="V116" s="47"/>
      <c r="W116" s="47"/>
      <c r="X116" s="47"/>
      <c r="Y116" s="47"/>
      <c r="Z116" s="47"/>
      <c r="AA116" s="47"/>
      <c r="AB116" s="47"/>
      <c r="AC116" s="47"/>
      <c r="AD116" s="47"/>
      <c r="AE116" s="47"/>
      <c r="AF116" s="47"/>
      <c r="AG116" s="47"/>
      <c r="AH116" s="47"/>
      <c r="AI116" s="47"/>
    </row>
    <row r="117" spans="1:35" ht="14" hidden="1" x14ac:dyDescent="0.2">
      <c r="A117" s="62"/>
      <c r="B117" s="47"/>
      <c r="C117" s="62"/>
      <c r="D117" s="47"/>
      <c r="E117" s="48"/>
      <c r="F117" s="47"/>
      <c r="G117" s="67"/>
      <c r="H117" s="49"/>
      <c r="I117" s="49"/>
      <c r="J117" s="49"/>
      <c r="K117" s="49"/>
      <c r="L117" s="49"/>
      <c r="M117" s="63"/>
      <c r="N117" s="63"/>
      <c r="O117" s="50"/>
      <c r="P117" s="50"/>
      <c r="Q117" s="63"/>
      <c r="R117" s="93"/>
      <c r="S117" s="63"/>
      <c r="T117" s="47"/>
      <c r="U117" s="150"/>
      <c r="V117" s="47" t="s">
        <v>168</v>
      </c>
      <c r="W117" s="47"/>
      <c r="X117" s="47"/>
      <c r="Y117" s="47"/>
      <c r="Z117" s="47"/>
      <c r="AA117" s="47"/>
      <c r="AB117" s="47"/>
      <c r="AC117" s="47"/>
      <c r="AD117" s="47"/>
      <c r="AE117" s="47"/>
      <c r="AF117" s="47"/>
      <c r="AG117" s="47"/>
      <c r="AH117" s="47"/>
      <c r="AI117" s="47"/>
    </row>
    <row r="118" spans="1:35" s="101" customFormat="1" ht="14" hidden="1" x14ac:dyDescent="0.2">
      <c r="A118" s="129">
        <f t="shared" ref="A118:A181" si="167">C118+G118</f>
        <v>45236.552083333336</v>
      </c>
      <c r="B118" s="100" t="s">
        <v>169</v>
      </c>
      <c r="C118" s="129">
        <v>45236</v>
      </c>
      <c r="D118" s="100" t="s">
        <v>44</v>
      </c>
      <c r="E118" s="107">
        <v>0.92600000000000005</v>
      </c>
      <c r="F118" s="100">
        <v>608</v>
      </c>
      <c r="G118" s="108">
        <v>0.55208333333333337</v>
      </c>
      <c r="H118" s="103">
        <v>15</v>
      </c>
      <c r="I118" s="103"/>
      <c r="J118" s="103">
        <v>459.04</v>
      </c>
      <c r="K118" s="103">
        <v>455.89</v>
      </c>
      <c r="L118" s="103">
        <f>J118-K118</f>
        <v>3.1500000000000341</v>
      </c>
      <c r="M118" s="104">
        <v>30.888200000000001</v>
      </c>
      <c r="N118" s="104">
        <v>15.9994</v>
      </c>
      <c r="O118" s="105">
        <f>((1000+M118)/$R$22)-1000</f>
        <v>20.843299367843088</v>
      </c>
      <c r="P118" s="105">
        <f t="shared" si="162"/>
        <v>10.850259077412261</v>
      </c>
      <c r="Q118" s="104">
        <f t="shared" si="163"/>
        <v>10.791817374759969</v>
      </c>
      <c r="R118" s="106">
        <f t="shared" si="164"/>
        <v>20.629049801131771</v>
      </c>
      <c r="S118" s="104">
        <f t="shared" si="165"/>
        <v>-0.10032092023760697</v>
      </c>
      <c r="T118" s="100"/>
      <c r="U118" s="152">
        <f>(O118-30.91)/1.03091</f>
        <v>-9.7648685454180413</v>
      </c>
      <c r="V118" s="100"/>
      <c r="W118" s="100"/>
      <c r="X118" s="100"/>
      <c r="Y118" s="100"/>
      <c r="Z118" s="100"/>
      <c r="AA118" s="100"/>
      <c r="AB118" s="100"/>
      <c r="AC118" s="100"/>
      <c r="AD118" s="100"/>
      <c r="AE118" s="100"/>
      <c r="AF118" s="100"/>
      <c r="AG118" s="100"/>
      <c r="AH118" s="100"/>
      <c r="AI118" s="100"/>
    </row>
    <row r="119" spans="1:35" ht="15" hidden="1" customHeight="1" x14ac:dyDescent="0.2">
      <c r="A119" s="62">
        <f t="shared" si="167"/>
        <v>45236.708333333336</v>
      </c>
      <c r="B119" s="47" t="s">
        <v>170</v>
      </c>
      <c r="C119" s="62">
        <v>45236</v>
      </c>
      <c r="D119" s="47" t="s">
        <v>53</v>
      </c>
      <c r="E119" s="48">
        <v>1.2230000000000001</v>
      </c>
      <c r="F119" s="47">
        <v>417</v>
      </c>
      <c r="G119" s="67">
        <v>0.70833333333333337</v>
      </c>
      <c r="H119" s="49">
        <v>18.45</v>
      </c>
      <c r="I119" s="49"/>
      <c r="J119" s="49"/>
      <c r="K119" s="49"/>
      <c r="L119" s="49"/>
      <c r="M119" s="50"/>
      <c r="N119" s="50"/>
      <c r="O119" s="47"/>
      <c r="P119" s="47"/>
      <c r="Q119" s="47"/>
      <c r="R119" s="51"/>
      <c r="S119" s="47"/>
      <c r="T119" s="47"/>
      <c r="U119" s="51"/>
      <c r="V119" s="51" t="s">
        <v>71</v>
      </c>
      <c r="W119" s="47"/>
      <c r="X119" s="47"/>
      <c r="Y119" s="47"/>
      <c r="Z119" s="47"/>
      <c r="AA119" s="47"/>
      <c r="AB119" s="47"/>
      <c r="AC119" s="47"/>
      <c r="AD119" s="47"/>
      <c r="AE119" s="47"/>
      <c r="AF119" s="47"/>
      <c r="AG119" s="47"/>
      <c r="AH119" s="47"/>
      <c r="AI119" s="47"/>
    </row>
    <row r="120" spans="1:35" s="101" customFormat="1" ht="14" hidden="1" x14ac:dyDescent="0.2">
      <c r="A120" s="129">
        <f t="shared" si="167"/>
        <v>45236.71875</v>
      </c>
      <c r="B120" s="100" t="s">
        <v>171</v>
      </c>
      <c r="C120" s="129">
        <v>45236</v>
      </c>
      <c r="D120" s="100" t="s">
        <v>53</v>
      </c>
      <c r="E120" s="107">
        <v>0.93200000000000005</v>
      </c>
      <c r="F120" s="100">
        <v>674</v>
      </c>
      <c r="G120" s="108">
        <v>0.71875</v>
      </c>
      <c r="H120" s="103">
        <v>19</v>
      </c>
      <c r="I120" s="103"/>
      <c r="J120" s="103">
        <v>459.25</v>
      </c>
      <c r="K120" s="103">
        <v>455.86</v>
      </c>
      <c r="L120" s="103">
        <f>J120-K120</f>
        <v>3.3899999999999864</v>
      </c>
      <c r="M120" s="104">
        <v>31.688700000000001</v>
      </c>
      <c r="N120" s="104">
        <v>16.392800000000001</v>
      </c>
      <c r="O120" s="105">
        <f t="shared" ref="O120" si="168">((1000+M120)/$R$22)-1000</f>
        <v>21.635999353296256</v>
      </c>
      <c r="P120" s="105">
        <f t="shared" ref="P120" si="169">((1000+N120)/$U$22)-1000</f>
        <v>11.241665304542835</v>
      </c>
      <c r="Q120" s="104">
        <f t="shared" si="163"/>
        <v>11.178947383341145</v>
      </c>
      <c r="R120" s="106">
        <f t="shared" ref="R120" si="170">1000*(LN(O120/1000+1))</f>
        <v>21.405263323344734</v>
      </c>
      <c r="S120" s="104">
        <f t="shared" ref="S120" si="171">Q120-0.528*R120</f>
        <v>-0.12303165138487593</v>
      </c>
      <c r="T120" s="100"/>
      <c r="U120" s="152">
        <f>(O120-30.91)/1.03091</f>
        <v>-8.9959362569998778</v>
      </c>
      <c r="V120" s="100"/>
      <c r="W120" s="100"/>
      <c r="X120" s="100"/>
      <c r="Y120" s="100"/>
      <c r="Z120" s="100"/>
      <c r="AA120" s="100"/>
      <c r="AB120" s="100"/>
      <c r="AC120" s="100"/>
      <c r="AD120" s="100"/>
      <c r="AE120" s="100"/>
      <c r="AF120" s="100"/>
      <c r="AG120" s="100"/>
      <c r="AH120" s="100"/>
      <c r="AI120" s="100"/>
    </row>
    <row r="121" spans="1:35" s="110" customFormat="1" ht="14" hidden="1" x14ac:dyDescent="0.2">
      <c r="A121" s="109">
        <f t="shared" si="167"/>
        <v>45237</v>
      </c>
      <c r="B121" s="110" t="s">
        <v>172</v>
      </c>
      <c r="C121" s="109">
        <v>45237</v>
      </c>
      <c r="D121" s="110" t="s">
        <v>44</v>
      </c>
      <c r="E121" s="111">
        <v>1.075</v>
      </c>
      <c r="F121" s="110">
        <v>616</v>
      </c>
      <c r="H121" s="112"/>
      <c r="I121" s="112"/>
      <c r="J121" s="112">
        <v>462.11</v>
      </c>
      <c r="K121" s="112">
        <v>456.53</v>
      </c>
      <c r="L121" s="112">
        <f>J121-K121</f>
        <v>5.5800000000000409</v>
      </c>
      <c r="M121" s="113">
        <v>35.163800000000002</v>
      </c>
      <c r="N121" s="113">
        <v>18.179400000000001</v>
      </c>
      <c r="O121" s="114">
        <f>((1000+M121)/$R$22)-1000</f>
        <v>25.077238228310307</v>
      </c>
      <c r="P121" s="114">
        <f>((1000+N121)/$U$22)-1000</f>
        <v>13.019210717333181</v>
      </c>
      <c r="Q121" s="113">
        <f>1000*(LN(P121/1000+1))</f>
        <v>12.935189269683322</v>
      </c>
      <c r="R121" s="115">
        <f>1000*(LN(O121/1000+1))</f>
        <v>24.767964120456782</v>
      </c>
      <c r="S121" s="113">
        <f>Q121-0.528*R121</f>
        <v>-0.14229578591785952</v>
      </c>
      <c r="U121" s="153">
        <f>(O121-30.91)/1.03091</f>
        <v>-5.6578767998076387</v>
      </c>
    </row>
    <row r="122" spans="1:35" s="94" customFormat="1" ht="14" hidden="1" x14ac:dyDescent="0.2">
      <c r="A122" s="116">
        <f t="shared" si="167"/>
        <v>45237</v>
      </c>
      <c r="B122" s="94" t="s">
        <v>122</v>
      </c>
      <c r="C122" s="116">
        <v>45237</v>
      </c>
      <c r="D122" s="94" t="s">
        <v>44</v>
      </c>
      <c r="E122" s="117"/>
      <c r="F122" s="94">
        <v>566</v>
      </c>
      <c r="G122" s="127"/>
      <c r="H122" s="96"/>
      <c r="I122" s="96"/>
      <c r="J122" s="96">
        <v>460.83</v>
      </c>
      <c r="K122" s="96">
        <v>456.26</v>
      </c>
      <c r="L122" s="96">
        <f>J122-K122</f>
        <v>4.5699999999999932</v>
      </c>
      <c r="M122" s="97">
        <v>30.541599999999999</v>
      </c>
      <c r="N122" s="97">
        <v>15.8766</v>
      </c>
      <c r="O122" s="98">
        <f>((1000+M122)/$R$22)-1000</f>
        <v>20.5000766133669</v>
      </c>
      <c r="P122" s="98">
        <f>((1000+N122)/$U$22)-1000</f>
        <v>10.728081434576325</v>
      </c>
      <c r="Q122" s="97">
        <f>1000*(LN(P122/1000+1))</f>
        <v>10.670943856740612</v>
      </c>
      <c r="R122" s="99">
        <f>1000*(LN(O122/1000+1))</f>
        <v>20.29277834210253</v>
      </c>
      <c r="S122" s="97">
        <f>Q122-0.528*R122</f>
        <v>-4.3643107889524302E-2</v>
      </c>
      <c r="U122" s="151">
        <f>(O122-30.91)/1.03091</f>
        <v>-10.097800376980629</v>
      </c>
    </row>
    <row r="123" spans="1:35" ht="14" hidden="1" x14ac:dyDescent="0.2">
      <c r="A123" s="62">
        <f t="shared" si="167"/>
        <v>45237</v>
      </c>
      <c r="B123" s="47" t="s">
        <v>173</v>
      </c>
      <c r="C123" s="62">
        <v>45237</v>
      </c>
      <c r="D123" s="47" t="s">
        <v>53</v>
      </c>
      <c r="E123" s="48">
        <v>1.24</v>
      </c>
      <c r="F123" s="47"/>
      <c r="G123" s="67"/>
      <c r="H123" s="49"/>
      <c r="I123" s="49"/>
      <c r="J123" s="49"/>
      <c r="K123" s="49"/>
      <c r="L123" s="49"/>
      <c r="M123" s="63"/>
      <c r="N123" s="63"/>
      <c r="O123" s="50"/>
      <c r="P123" s="50"/>
      <c r="Q123" s="47"/>
      <c r="R123" s="51"/>
      <c r="S123" s="47"/>
      <c r="T123" s="47"/>
      <c r="U123" s="51"/>
      <c r="V123" s="47" t="s">
        <v>174</v>
      </c>
      <c r="W123" s="47"/>
      <c r="X123" s="47"/>
      <c r="Y123" s="47"/>
      <c r="Z123" s="47"/>
      <c r="AA123" s="47"/>
      <c r="AB123" s="47"/>
      <c r="AC123" s="47"/>
      <c r="AD123" s="47"/>
      <c r="AE123" s="47"/>
      <c r="AF123" s="47"/>
      <c r="AG123" s="47"/>
      <c r="AH123" s="47"/>
      <c r="AI123" s="47"/>
    </row>
    <row r="124" spans="1:35" ht="14" hidden="1" x14ac:dyDescent="0.2">
      <c r="A124" s="62">
        <f t="shared" si="167"/>
        <v>45237</v>
      </c>
      <c r="B124" s="47" t="s">
        <v>175</v>
      </c>
      <c r="C124" s="62">
        <v>45237</v>
      </c>
      <c r="D124" s="47" t="s">
        <v>53</v>
      </c>
      <c r="E124" s="48">
        <v>1.1619999999999999</v>
      </c>
      <c r="F124" s="47"/>
      <c r="G124" s="67"/>
      <c r="H124" s="49"/>
      <c r="I124" s="49"/>
      <c r="J124" s="49"/>
      <c r="K124" s="49"/>
      <c r="L124" s="49"/>
      <c r="M124" s="63"/>
      <c r="N124" s="63"/>
      <c r="O124" s="50"/>
      <c r="P124" s="50"/>
      <c r="Q124" s="47"/>
      <c r="R124" s="51"/>
      <c r="S124" s="47"/>
      <c r="T124" s="47"/>
      <c r="U124" s="51"/>
      <c r="V124" s="47" t="s">
        <v>174</v>
      </c>
      <c r="W124" s="47"/>
      <c r="X124" s="47"/>
      <c r="Y124" s="47"/>
      <c r="Z124" s="47"/>
      <c r="AA124" s="47"/>
      <c r="AB124" s="47"/>
      <c r="AC124" s="47"/>
      <c r="AD124" s="47"/>
      <c r="AE124" s="47"/>
      <c r="AF124" s="47"/>
      <c r="AG124" s="47"/>
      <c r="AH124" s="47"/>
      <c r="AI124" s="47"/>
    </row>
    <row r="125" spans="1:35" ht="14" hidden="1" x14ac:dyDescent="0.2">
      <c r="A125" s="62">
        <f t="shared" si="167"/>
        <v>45237</v>
      </c>
      <c r="B125" s="47" t="s">
        <v>176</v>
      </c>
      <c r="C125" s="62">
        <v>45237</v>
      </c>
      <c r="D125" s="47" t="s">
        <v>53</v>
      </c>
      <c r="E125" s="48">
        <v>1.3560000000000001</v>
      </c>
      <c r="F125" s="47"/>
      <c r="G125" s="67"/>
      <c r="H125" s="49"/>
      <c r="I125" s="49"/>
      <c r="J125" s="49"/>
      <c r="K125" s="49"/>
      <c r="L125" s="49"/>
      <c r="M125" s="63"/>
      <c r="N125" s="63"/>
      <c r="O125" s="50"/>
      <c r="P125" s="50"/>
      <c r="Q125" s="47"/>
      <c r="R125" s="51"/>
      <c r="S125" s="47"/>
      <c r="T125" s="47"/>
      <c r="U125" s="51"/>
      <c r="V125" s="47" t="s">
        <v>177</v>
      </c>
      <c r="W125" s="47"/>
      <c r="X125" s="47"/>
      <c r="Y125" s="47"/>
      <c r="Z125" s="47"/>
      <c r="AA125" s="47"/>
      <c r="AB125" s="47"/>
      <c r="AC125" s="47"/>
      <c r="AD125" s="47"/>
      <c r="AE125" s="47"/>
      <c r="AF125" s="47"/>
      <c r="AG125" s="47"/>
      <c r="AH125" s="47"/>
      <c r="AI125" s="47"/>
    </row>
    <row r="126" spans="1:35" ht="14" hidden="1" x14ac:dyDescent="0.2">
      <c r="A126" s="62">
        <f t="shared" si="167"/>
        <v>45237.611111111109</v>
      </c>
      <c r="B126" s="47" t="s">
        <v>122</v>
      </c>
      <c r="C126" s="62">
        <v>45237</v>
      </c>
      <c r="D126" s="47" t="s">
        <v>53</v>
      </c>
      <c r="E126" s="48"/>
      <c r="F126" s="47"/>
      <c r="G126" s="67">
        <v>0.61111111111111105</v>
      </c>
      <c r="H126" s="49"/>
      <c r="I126" s="49"/>
      <c r="J126" s="49"/>
      <c r="K126" s="49"/>
      <c r="L126" s="49"/>
      <c r="M126" s="63"/>
      <c r="N126" s="63"/>
      <c r="O126" s="47"/>
      <c r="P126" s="47"/>
      <c r="Q126" s="47"/>
      <c r="R126" s="51"/>
      <c r="S126" s="47"/>
      <c r="T126" s="47"/>
      <c r="U126" s="51"/>
      <c r="V126" s="47" t="s">
        <v>178</v>
      </c>
      <c r="W126" s="47"/>
      <c r="X126" s="47"/>
      <c r="Y126" s="47"/>
      <c r="Z126" s="47"/>
      <c r="AA126" s="47"/>
      <c r="AB126" s="47"/>
      <c r="AC126" s="47"/>
      <c r="AD126" s="47"/>
      <c r="AE126" s="47"/>
      <c r="AF126" s="47"/>
      <c r="AG126" s="47"/>
      <c r="AH126" s="47"/>
      <c r="AI126" s="47"/>
    </row>
    <row r="127" spans="1:35" s="101" customFormat="1" ht="14" hidden="1" x14ac:dyDescent="0.2">
      <c r="A127" s="129">
        <f t="shared" si="167"/>
        <v>45237.623611111114</v>
      </c>
      <c r="B127" s="100" t="s">
        <v>179</v>
      </c>
      <c r="C127" s="129">
        <v>45237</v>
      </c>
      <c r="D127" s="100" t="s">
        <v>53</v>
      </c>
      <c r="E127" s="107">
        <v>1.099</v>
      </c>
      <c r="F127" s="100">
        <v>340</v>
      </c>
      <c r="G127" s="108">
        <v>0.62361111111111112</v>
      </c>
      <c r="H127" s="103">
        <v>18</v>
      </c>
      <c r="I127" s="103"/>
      <c r="J127" s="103"/>
      <c r="K127" s="103"/>
      <c r="L127" s="103"/>
      <c r="M127" s="104"/>
      <c r="N127" s="104"/>
      <c r="O127" s="100"/>
      <c r="P127" s="100"/>
      <c r="Q127" s="100"/>
      <c r="R127" s="118"/>
      <c r="S127" s="100"/>
      <c r="T127" s="100"/>
      <c r="U127" s="118"/>
      <c r="V127" s="100" t="s">
        <v>180</v>
      </c>
      <c r="W127" s="100"/>
      <c r="X127" s="100"/>
      <c r="Y127" s="100"/>
      <c r="Z127" s="100"/>
      <c r="AA127" s="100"/>
      <c r="AB127" s="100"/>
      <c r="AC127" s="100"/>
      <c r="AD127" s="100"/>
      <c r="AE127" s="100"/>
      <c r="AF127" s="100"/>
      <c r="AG127" s="100"/>
      <c r="AH127" s="100"/>
      <c r="AI127" s="100"/>
    </row>
    <row r="128" spans="1:35" s="125" customFormat="1" ht="14" hidden="1" x14ac:dyDescent="0.2">
      <c r="A128" s="154">
        <f t="shared" si="167"/>
        <v>45237.635416666664</v>
      </c>
      <c r="B128" s="119" t="s">
        <v>181</v>
      </c>
      <c r="C128" s="154">
        <v>45237</v>
      </c>
      <c r="D128" s="119" t="s">
        <v>53</v>
      </c>
      <c r="E128" s="120">
        <v>1.1399999999999999</v>
      </c>
      <c r="F128" s="119">
        <v>495</v>
      </c>
      <c r="G128" s="130">
        <v>0.63541666666666663</v>
      </c>
      <c r="H128" s="121">
        <v>18.25</v>
      </c>
      <c r="I128" s="121"/>
      <c r="J128" s="121">
        <v>462.54</v>
      </c>
      <c r="K128" s="121">
        <v>456.06</v>
      </c>
      <c r="L128" s="121">
        <f>J128-K128</f>
        <v>6.4800000000000182</v>
      </c>
      <c r="M128" s="122">
        <v>34.160200000000003</v>
      </c>
      <c r="N128" s="122">
        <v>17.686299999999999</v>
      </c>
      <c r="O128" s="123">
        <f>((1000+M128)/$R$22)-1000</f>
        <v>24.083417234680155</v>
      </c>
      <c r="P128" s="123">
        <f>((1000+N128)/$U$22)-1000</f>
        <v>12.528609775294171</v>
      </c>
      <c r="Q128" s="122">
        <f>1000*(LN(P128/1000+1))</f>
        <v>12.450776167539585</v>
      </c>
      <c r="R128" s="124">
        <f>1000*(LN(O128/1000+1))</f>
        <v>23.797985442698238</v>
      </c>
      <c r="S128" s="122">
        <f>Q128-0.528*R128</f>
        <v>-0.11456014620508448</v>
      </c>
      <c r="T128" s="119"/>
      <c r="U128" s="155">
        <f>(O128-30.91)/1.03091</f>
        <v>-6.6218998412275027</v>
      </c>
      <c r="V128" s="119"/>
      <c r="W128" s="119"/>
      <c r="X128" s="119"/>
      <c r="Y128" s="119"/>
      <c r="Z128" s="119"/>
      <c r="AA128" s="119"/>
      <c r="AB128" s="119"/>
      <c r="AC128" s="119"/>
      <c r="AD128" s="119"/>
      <c r="AE128" s="119"/>
      <c r="AF128" s="119"/>
      <c r="AG128" s="119"/>
      <c r="AH128" s="119"/>
      <c r="AI128" s="119"/>
    </row>
    <row r="129" spans="1:35" s="101" customFormat="1" ht="14" hidden="1" x14ac:dyDescent="0.2">
      <c r="A129" s="129">
        <f t="shared" si="167"/>
        <v>45237.6875</v>
      </c>
      <c r="B129" s="100" t="s">
        <v>182</v>
      </c>
      <c r="C129" s="129">
        <v>45237</v>
      </c>
      <c r="D129" s="100" t="s">
        <v>53</v>
      </c>
      <c r="E129" s="107">
        <v>1.47</v>
      </c>
      <c r="F129" s="100">
        <v>470</v>
      </c>
      <c r="G129" s="108">
        <v>0.6875</v>
      </c>
      <c r="H129" s="103">
        <v>19.3</v>
      </c>
      <c r="I129" s="103"/>
      <c r="J129" s="103">
        <v>454.67</v>
      </c>
      <c r="K129" s="103">
        <v>456.12</v>
      </c>
      <c r="L129" s="103">
        <f>J129-K129</f>
        <v>-1.4499999999999886</v>
      </c>
      <c r="M129" s="104">
        <v>30.1996</v>
      </c>
      <c r="N129" s="104">
        <v>15.64</v>
      </c>
      <c r="O129" s="105">
        <f>((1000+M129)/$R$22)-1000</f>
        <v>20.161409036820942</v>
      </c>
      <c r="P129" s="105">
        <f>((1000+N129)/$U$22)-1000</f>
        <v>10.49268053640867</v>
      </c>
      <c r="Q129" s="104">
        <f>1000*(LN(P129/1000+1))</f>
        <v>10.438014427495769</v>
      </c>
      <c r="R129" s="106">
        <f>1000*(LN(O129/1000+1))</f>
        <v>19.96085893064037</v>
      </c>
      <c r="S129" s="104">
        <f>Q129-0.528*R129</f>
        <v>-0.10131908788234689</v>
      </c>
      <c r="T129" s="100"/>
      <c r="U129" s="152">
        <f>(O129-30.91)/1.03091</f>
        <v>-10.426313609509132</v>
      </c>
      <c r="V129" s="100"/>
      <c r="W129" s="100"/>
      <c r="X129" s="100"/>
      <c r="Y129" s="100"/>
      <c r="Z129" s="100"/>
      <c r="AA129" s="100"/>
      <c r="AB129" s="100"/>
      <c r="AC129" s="100"/>
      <c r="AD129" s="100"/>
      <c r="AE129" s="100"/>
      <c r="AF129" s="100"/>
      <c r="AG129" s="100"/>
      <c r="AH129" s="100"/>
      <c r="AI129" s="100"/>
    </row>
    <row r="130" spans="1:35" s="125" customFormat="1" ht="14" hidden="1" x14ac:dyDescent="0.2">
      <c r="A130" s="154">
        <f t="shared" si="167"/>
        <v>45237.744444444441</v>
      </c>
      <c r="B130" s="119" t="s">
        <v>183</v>
      </c>
      <c r="C130" s="154">
        <v>45237</v>
      </c>
      <c r="D130" s="119" t="s">
        <v>53</v>
      </c>
      <c r="E130" s="120">
        <v>1.099</v>
      </c>
      <c r="F130" s="119">
        <v>592</v>
      </c>
      <c r="G130" s="130">
        <v>0.74444444444444446</v>
      </c>
      <c r="H130" s="121">
        <v>20.6</v>
      </c>
      <c r="I130" s="121"/>
      <c r="J130" s="121">
        <v>460.75</v>
      </c>
      <c r="K130" s="121">
        <v>456.31</v>
      </c>
      <c r="L130" s="121">
        <f>J130-K130</f>
        <v>4.4399999999999977</v>
      </c>
      <c r="M130" s="122">
        <v>34.906500000000001</v>
      </c>
      <c r="N130" s="122">
        <v>18.065300000000001</v>
      </c>
      <c r="O130" s="123">
        <f>((1000+M130)/$R$22)-1000</f>
        <v>24.822445341043476</v>
      </c>
      <c r="P130" s="123">
        <f>((1000+N130)/$U$22)-1000</f>
        <v>12.905688982418042</v>
      </c>
      <c r="Q130" s="122">
        <f>1000*(LN(P130/1000+1))</f>
        <v>12.82312022403317</v>
      </c>
      <c r="R130" s="124">
        <f>1000*(LN(O130/1000+1))</f>
        <v>24.519373527833068</v>
      </c>
      <c r="S130" s="122">
        <f>Q130-0.528*R130</f>
        <v>-0.12310899866269054</v>
      </c>
      <c r="T130" s="119"/>
      <c r="U130" s="155">
        <f>(O130-30.91)/1.03091</f>
        <v>-5.9050301762098769</v>
      </c>
      <c r="V130" s="119"/>
      <c r="W130" s="119"/>
      <c r="X130" s="119"/>
      <c r="Y130" s="119"/>
      <c r="Z130" s="119"/>
      <c r="AA130" s="119"/>
      <c r="AB130" s="119"/>
      <c r="AC130" s="119"/>
      <c r="AD130" s="119"/>
      <c r="AE130" s="119"/>
      <c r="AF130" s="119"/>
      <c r="AG130" s="119"/>
      <c r="AH130" s="119"/>
      <c r="AI130" s="119"/>
    </row>
    <row r="131" spans="1:35" ht="14" hidden="1" x14ac:dyDescent="0.2">
      <c r="A131" s="62">
        <f t="shared" si="167"/>
        <v>45237.802777777775</v>
      </c>
      <c r="B131" s="47" t="s">
        <v>184</v>
      </c>
      <c r="C131" s="62">
        <v>45237</v>
      </c>
      <c r="D131" s="47" t="s">
        <v>53</v>
      </c>
      <c r="E131" s="48">
        <v>1.4870000000000001</v>
      </c>
      <c r="F131" s="47">
        <v>463</v>
      </c>
      <c r="G131" s="67">
        <v>0.8027777777777777</v>
      </c>
      <c r="H131" s="49">
        <v>22</v>
      </c>
      <c r="I131" s="49"/>
      <c r="J131" s="49"/>
      <c r="K131" s="49"/>
      <c r="L131" s="49"/>
      <c r="M131" s="63"/>
      <c r="N131" s="63"/>
      <c r="O131" s="47"/>
      <c r="P131" s="47"/>
      <c r="Q131" s="47"/>
      <c r="R131" s="51"/>
      <c r="S131" s="47"/>
      <c r="T131" s="47"/>
      <c r="U131" s="51"/>
      <c r="V131" s="47" t="s">
        <v>185</v>
      </c>
      <c r="W131" s="47"/>
      <c r="X131" s="47"/>
      <c r="Y131" s="47"/>
      <c r="Z131" s="47"/>
      <c r="AA131" s="47"/>
      <c r="AB131" s="47"/>
      <c r="AC131" s="47"/>
      <c r="AD131" s="47"/>
      <c r="AE131" s="47"/>
      <c r="AF131" s="47"/>
      <c r="AG131" s="47"/>
      <c r="AH131" s="47"/>
      <c r="AI131" s="47"/>
    </row>
    <row r="132" spans="1:35" ht="14" hidden="1" x14ac:dyDescent="0.2">
      <c r="A132" s="62">
        <f t="shared" si="167"/>
        <v>45237.829861111109</v>
      </c>
      <c r="B132" s="47" t="s">
        <v>186</v>
      </c>
      <c r="C132" s="62">
        <v>45237</v>
      </c>
      <c r="D132" s="47" t="s">
        <v>53</v>
      </c>
      <c r="E132" s="48">
        <v>1.105</v>
      </c>
      <c r="F132" s="47">
        <v>439</v>
      </c>
      <c r="G132" s="67">
        <v>0.82986111111111116</v>
      </c>
      <c r="H132" s="49">
        <v>22.5</v>
      </c>
      <c r="I132" s="49"/>
      <c r="J132" s="49"/>
      <c r="K132" s="49"/>
      <c r="L132" s="49"/>
      <c r="M132" s="63"/>
      <c r="N132" s="63"/>
      <c r="O132" s="47"/>
      <c r="P132" s="47"/>
      <c r="Q132" s="47"/>
      <c r="R132" s="51"/>
      <c r="S132" s="47"/>
      <c r="T132" s="47"/>
      <c r="U132" s="51"/>
      <c r="V132" s="47" t="s">
        <v>185</v>
      </c>
      <c r="W132" s="47"/>
      <c r="X132" s="47"/>
      <c r="Y132" s="47"/>
      <c r="Z132" s="47"/>
      <c r="AA132" s="47"/>
      <c r="AB132" s="47"/>
      <c r="AC132" s="47"/>
      <c r="AD132" s="47"/>
      <c r="AE132" s="47"/>
      <c r="AF132" s="47"/>
      <c r="AG132" s="47"/>
      <c r="AH132" s="47"/>
      <c r="AI132" s="47"/>
    </row>
    <row r="133" spans="1:35" s="101" customFormat="1" ht="14" hidden="1" x14ac:dyDescent="0.2">
      <c r="A133" s="129">
        <f t="shared" si="167"/>
        <v>45237.84375</v>
      </c>
      <c r="B133" s="100" t="s">
        <v>187</v>
      </c>
      <c r="C133" s="129">
        <v>45237</v>
      </c>
      <c r="D133" s="100" t="s">
        <v>53</v>
      </c>
      <c r="E133" s="107">
        <v>1.0620000000000001</v>
      </c>
      <c r="F133" s="100">
        <v>482</v>
      </c>
      <c r="G133" s="108">
        <v>0.84375</v>
      </c>
      <c r="H133" s="103">
        <v>22.75</v>
      </c>
      <c r="I133" s="103"/>
      <c r="J133" s="103">
        <v>452.11</v>
      </c>
      <c r="K133" s="103">
        <v>456.32</v>
      </c>
      <c r="L133" s="103">
        <f>J133-K133</f>
        <v>-4.2099999999999795</v>
      </c>
      <c r="M133" s="104">
        <v>30.953399999999998</v>
      </c>
      <c r="N133" s="104">
        <v>16.026499999999999</v>
      </c>
      <c r="O133" s="105">
        <f>((1000+M133)/$R$22)-1000</f>
        <v>20.907864063722627</v>
      </c>
      <c r="P133" s="105">
        <f>((1000+N133)/$U$22)-1000</f>
        <v>10.877221733119427</v>
      </c>
      <c r="Q133" s="104">
        <f>1000*(LN(P133/1000+1))</f>
        <v>10.818490263133647</v>
      </c>
      <c r="R133" s="106">
        <f>1000*(LN(O133/1000+1))</f>
        <v>20.692294232732792</v>
      </c>
      <c r="S133" s="104">
        <f>Q133-0.528*R133</f>
        <v>-0.10704109174926835</v>
      </c>
      <c r="T133" s="100"/>
      <c r="U133" s="152">
        <f>(O133-30.91)/1.03091</f>
        <v>-9.7022397069359823</v>
      </c>
      <c r="V133" s="100" t="s">
        <v>188</v>
      </c>
      <c r="W133" s="100"/>
      <c r="X133" s="100"/>
      <c r="Y133" s="100"/>
      <c r="Z133" s="100"/>
      <c r="AA133" s="100"/>
      <c r="AB133" s="100"/>
      <c r="AC133" s="100"/>
      <c r="AD133" s="100"/>
      <c r="AE133" s="100"/>
      <c r="AF133" s="100"/>
      <c r="AG133" s="100"/>
      <c r="AH133" s="100"/>
      <c r="AI133" s="100"/>
    </row>
    <row r="134" spans="1:35" s="125" customFormat="1" ht="14" hidden="1" x14ac:dyDescent="0.2">
      <c r="A134" s="154">
        <f t="shared" si="167"/>
        <v>45237.9375</v>
      </c>
      <c r="B134" s="119" t="s">
        <v>189</v>
      </c>
      <c r="C134" s="154">
        <v>45237</v>
      </c>
      <c r="D134" s="119" t="s">
        <v>41</v>
      </c>
      <c r="E134" s="120">
        <v>0.99199999999999999</v>
      </c>
      <c r="F134" s="119">
        <v>470</v>
      </c>
      <c r="G134" s="130">
        <v>0.9375</v>
      </c>
      <c r="H134" s="121">
        <v>25</v>
      </c>
      <c r="I134" s="121"/>
      <c r="J134" s="121">
        <v>459.59</v>
      </c>
      <c r="K134" s="121">
        <v>456.46</v>
      </c>
      <c r="L134" s="121">
        <f>J134-K134</f>
        <v>3.1299999999999955</v>
      </c>
      <c r="M134" s="122">
        <v>34.680100000000003</v>
      </c>
      <c r="N134" s="122">
        <v>17.9604</v>
      </c>
      <c r="O134" s="123">
        <f>((1000+M134)/$R$22)-1000</f>
        <v>24.598251366394379</v>
      </c>
      <c r="P134" s="123">
        <f>((1000+N134)/$U$22)-1000</f>
        <v>12.801320621396258</v>
      </c>
      <c r="Q134" s="122">
        <f>1000*(LN(P134/1000+1))</f>
        <v>12.720076338002929</v>
      </c>
      <c r="R134" s="124">
        <f>1000*(LN(O134/1000+1))</f>
        <v>24.300585871493389</v>
      </c>
      <c r="S134" s="122">
        <f>Q134-0.528*R134</f>
        <v>-0.11063300214558147</v>
      </c>
      <c r="T134" s="119"/>
      <c r="U134" s="155">
        <f>(O134-30.91)/1.03091</f>
        <v>-6.1225020938836767</v>
      </c>
      <c r="V134" s="119" t="s">
        <v>190</v>
      </c>
      <c r="W134" s="119"/>
      <c r="X134" s="119"/>
      <c r="Y134" s="119"/>
      <c r="Z134" s="119"/>
      <c r="AA134" s="119"/>
      <c r="AB134" s="119"/>
      <c r="AC134" s="119"/>
      <c r="AD134" s="119"/>
      <c r="AE134" s="119"/>
      <c r="AF134" s="119"/>
      <c r="AG134" s="119"/>
      <c r="AH134" s="119"/>
      <c r="AI134" s="119"/>
    </row>
    <row r="135" spans="1:35" ht="14" hidden="1" x14ac:dyDescent="0.2">
      <c r="A135" s="62"/>
      <c r="B135" s="47" t="s">
        <v>191</v>
      </c>
      <c r="C135" s="47"/>
      <c r="D135" s="47" t="s">
        <v>41</v>
      </c>
      <c r="E135" s="48"/>
      <c r="F135" s="47"/>
      <c r="G135" s="67"/>
      <c r="H135" s="49"/>
      <c r="I135" s="49"/>
      <c r="J135" s="49"/>
      <c r="K135" s="49"/>
      <c r="L135" s="49"/>
      <c r="M135" s="63"/>
      <c r="N135" s="63"/>
      <c r="O135" s="47"/>
      <c r="P135" s="47"/>
      <c r="Q135" s="47"/>
      <c r="R135" s="51"/>
      <c r="S135" s="47"/>
      <c r="T135" s="47"/>
      <c r="U135" s="51"/>
      <c r="V135" s="47"/>
      <c r="W135" s="47"/>
      <c r="X135" s="47"/>
      <c r="Y135" s="47"/>
      <c r="Z135" s="47"/>
      <c r="AA135" s="47"/>
      <c r="AB135" s="47"/>
      <c r="AC135" s="47"/>
      <c r="AD135" s="47"/>
      <c r="AE135" s="47"/>
      <c r="AF135" s="47"/>
      <c r="AG135" s="47"/>
      <c r="AH135" s="47"/>
      <c r="AI135" s="47"/>
    </row>
    <row r="136" spans="1:35" s="95" customFormat="1" ht="14" hidden="1" x14ac:dyDescent="0.2">
      <c r="A136" s="116">
        <f t="shared" si="167"/>
        <v>45238.006944444445</v>
      </c>
      <c r="B136" s="94" t="s">
        <v>122</v>
      </c>
      <c r="C136" s="116">
        <v>45238</v>
      </c>
      <c r="D136" s="94" t="s">
        <v>41</v>
      </c>
      <c r="E136" s="117"/>
      <c r="F136" s="94">
        <v>443</v>
      </c>
      <c r="G136" s="127">
        <v>6.9444444444444441E-3</v>
      </c>
      <c r="H136" s="96"/>
      <c r="I136" s="96"/>
      <c r="J136" s="96"/>
      <c r="K136" s="96"/>
      <c r="L136" s="96"/>
      <c r="M136" s="97"/>
      <c r="N136" s="97"/>
      <c r="O136" s="94"/>
      <c r="P136" s="94"/>
      <c r="Q136" s="94"/>
      <c r="R136" s="126"/>
      <c r="S136" s="94"/>
      <c r="T136" s="94"/>
      <c r="U136" s="126"/>
      <c r="V136" s="94"/>
      <c r="W136" s="94"/>
      <c r="X136" s="94"/>
      <c r="Y136" s="94"/>
      <c r="Z136" s="94"/>
      <c r="AA136" s="94"/>
      <c r="AB136" s="94"/>
      <c r="AC136" s="94"/>
      <c r="AD136" s="94"/>
      <c r="AE136" s="94"/>
      <c r="AF136" s="94"/>
      <c r="AG136" s="94"/>
      <c r="AH136" s="94"/>
      <c r="AI136" s="94"/>
    </row>
    <row r="137" spans="1:35" s="95" customFormat="1" ht="14" hidden="1" x14ac:dyDescent="0.2">
      <c r="A137" s="116">
        <f t="shared" si="167"/>
        <v>45238.017361111109</v>
      </c>
      <c r="B137" s="94" t="s">
        <v>122</v>
      </c>
      <c r="C137" s="116">
        <v>45238</v>
      </c>
      <c r="D137" s="94" t="s">
        <v>41</v>
      </c>
      <c r="E137" s="117"/>
      <c r="F137" s="94">
        <v>545</v>
      </c>
      <c r="G137" s="127">
        <v>1.7361111111111112E-2</v>
      </c>
      <c r="H137" s="96"/>
      <c r="I137" s="96"/>
      <c r="J137" s="96"/>
      <c r="K137" s="96"/>
      <c r="L137" s="96"/>
      <c r="M137" s="97"/>
      <c r="N137" s="97"/>
      <c r="O137" s="94"/>
      <c r="P137" s="94"/>
      <c r="Q137" s="94"/>
      <c r="R137" s="126"/>
      <c r="S137" s="94"/>
      <c r="T137" s="94"/>
      <c r="U137" s="126"/>
      <c r="V137" s="94"/>
      <c r="W137" s="94"/>
      <c r="X137" s="94"/>
      <c r="Y137" s="94"/>
      <c r="Z137" s="94"/>
      <c r="AA137" s="94"/>
      <c r="AB137" s="94"/>
      <c r="AC137" s="94"/>
      <c r="AD137" s="94"/>
      <c r="AE137" s="94"/>
      <c r="AF137" s="94"/>
      <c r="AG137" s="94"/>
      <c r="AH137" s="94"/>
      <c r="AI137" s="94"/>
    </row>
    <row r="138" spans="1:35" s="95" customFormat="1" ht="14" hidden="1" x14ac:dyDescent="0.2">
      <c r="A138" s="116">
        <f t="shared" si="167"/>
        <v>45238.027777777781</v>
      </c>
      <c r="B138" s="94" t="s">
        <v>192</v>
      </c>
      <c r="C138" s="116">
        <v>45238</v>
      </c>
      <c r="D138" s="94" t="s">
        <v>41</v>
      </c>
      <c r="E138" s="117"/>
      <c r="F138" s="94">
        <v>465</v>
      </c>
      <c r="G138" s="127">
        <v>2.7777777777777776E-2</v>
      </c>
      <c r="H138" s="96"/>
      <c r="I138" s="96"/>
      <c r="J138" s="96"/>
      <c r="K138" s="96"/>
      <c r="L138" s="96"/>
      <c r="M138" s="97"/>
      <c r="N138" s="97"/>
      <c r="O138" s="94"/>
      <c r="P138" s="94"/>
      <c r="Q138" s="94"/>
      <c r="R138" s="126"/>
      <c r="S138" s="94"/>
      <c r="T138" s="94"/>
      <c r="U138" s="126"/>
      <c r="V138" s="94"/>
      <c r="W138" s="94"/>
      <c r="X138" s="94"/>
      <c r="Y138" s="94"/>
      <c r="Z138" s="94"/>
      <c r="AA138" s="94"/>
      <c r="AB138" s="94"/>
      <c r="AC138" s="94"/>
      <c r="AD138" s="94"/>
      <c r="AE138" s="94"/>
      <c r="AF138" s="94"/>
      <c r="AG138" s="94"/>
      <c r="AH138" s="94"/>
      <c r="AI138" s="94"/>
    </row>
    <row r="139" spans="1:35" s="95" customFormat="1" ht="14" hidden="1" x14ac:dyDescent="0.2">
      <c r="A139" s="116">
        <f t="shared" si="167"/>
        <v>45238.038194444445</v>
      </c>
      <c r="B139" s="94" t="s">
        <v>193</v>
      </c>
      <c r="C139" s="116">
        <v>45238</v>
      </c>
      <c r="D139" s="94" t="s">
        <v>41</v>
      </c>
      <c r="E139" s="117"/>
      <c r="F139" s="94">
        <v>528</v>
      </c>
      <c r="G139" s="127">
        <v>3.8194444444444441E-2</v>
      </c>
      <c r="H139" s="96"/>
      <c r="I139" s="96"/>
      <c r="J139" s="96"/>
      <c r="K139" s="96"/>
      <c r="L139" s="96"/>
      <c r="M139" s="97"/>
      <c r="N139" s="97"/>
      <c r="O139" s="94"/>
      <c r="P139" s="94"/>
      <c r="Q139" s="94"/>
      <c r="R139" s="126"/>
      <c r="S139" s="94"/>
      <c r="T139" s="94"/>
      <c r="U139" s="126"/>
      <c r="V139" s="94"/>
      <c r="W139" s="94"/>
      <c r="X139" s="94"/>
      <c r="Y139" s="94"/>
      <c r="Z139" s="94"/>
      <c r="AA139" s="94"/>
      <c r="AB139" s="94"/>
      <c r="AC139" s="94"/>
      <c r="AD139" s="94"/>
      <c r="AE139" s="94"/>
      <c r="AF139" s="94"/>
      <c r="AG139" s="94"/>
      <c r="AH139" s="94"/>
      <c r="AI139" s="94"/>
    </row>
    <row r="140" spans="1:35" s="95" customFormat="1" hidden="1" x14ac:dyDescent="0.2">
      <c r="A140" s="116">
        <f t="shared" si="167"/>
        <v>45238.045138888891</v>
      </c>
      <c r="B140" s="94" t="s">
        <v>193</v>
      </c>
      <c r="C140" s="116">
        <v>45238</v>
      </c>
      <c r="D140" s="94" t="s">
        <v>41</v>
      </c>
      <c r="E140" s="128"/>
      <c r="F140" s="94">
        <v>591</v>
      </c>
      <c r="G140" s="127">
        <v>4.5138888888888888E-2</v>
      </c>
      <c r="H140" s="96"/>
      <c r="I140" s="96"/>
      <c r="J140" s="96"/>
      <c r="K140" s="96"/>
      <c r="L140" s="96"/>
      <c r="M140" s="97"/>
      <c r="N140" s="97"/>
      <c r="O140" s="94"/>
      <c r="P140" s="94"/>
      <c r="Q140" s="94"/>
      <c r="R140" s="126"/>
      <c r="S140" s="94"/>
      <c r="T140" s="94"/>
      <c r="U140" s="126"/>
      <c r="V140" s="94"/>
      <c r="W140" s="94"/>
      <c r="X140" s="94"/>
      <c r="Y140" s="94"/>
      <c r="Z140" s="94"/>
      <c r="AA140" s="94"/>
      <c r="AB140" s="94"/>
      <c r="AC140" s="94"/>
      <c r="AD140" s="94"/>
      <c r="AE140" s="94"/>
      <c r="AF140" s="94"/>
      <c r="AG140" s="94"/>
      <c r="AH140" s="94"/>
      <c r="AI140" s="94"/>
    </row>
    <row r="141" spans="1:35" s="95" customFormat="1" ht="14" hidden="1" x14ac:dyDescent="0.2">
      <c r="A141" s="116">
        <f t="shared" si="167"/>
        <v>45238.055555555555</v>
      </c>
      <c r="B141" s="94" t="s">
        <v>193</v>
      </c>
      <c r="C141" s="116">
        <v>45238</v>
      </c>
      <c r="D141" s="94" t="s">
        <v>41</v>
      </c>
      <c r="E141" s="117"/>
      <c r="F141" s="94">
        <v>617</v>
      </c>
      <c r="G141" s="127">
        <v>5.5555555555555552E-2</v>
      </c>
      <c r="H141" s="96"/>
      <c r="I141" s="96"/>
      <c r="J141" s="96"/>
      <c r="K141" s="96"/>
      <c r="L141" s="96"/>
      <c r="M141" s="97"/>
      <c r="N141" s="97"/>
      <c r="O141" s="94"/>
      <c r="P141" s="94"/>
      <c r="Q141" s="94"/>
      <c r="R141" s="126"/>
      <c r="S141" s="94"/>
      <c r="T141" s="94"/>
      <c r="U141" s="126"/>
      <c r="V141" s="94"/>
      <c r="W141" s="94"/>
      <c r="X141" s="94"/>
      <c r="Y141" s="94"/>
      <c r="Z141" s="94"/>
      <c r="AA141" s="94"/>
      <c r="AB141" s="94"/>
      <c r="AC141" s="94"/>
      <c r="AD141" s="94"/>
      <c r="AE141" s="94"/>
      <c r="AF141" s="94"/>
      <c r="AG141" s="94"/>
      <c r="AH141" s="94"/>
      <c r="AI141" s="94"/>
    </row>
    <row r="142" spans="1:35" ht="14" hidden="1" x14ac:dyDescent="0.2">
      <c r="A142" s="62">
        <f t="shared" si="167"/>
        <v>45238.069444444445</v>
      </c>
      <c r="B142" s="47" t="s">
        <v>194</v>
      </c>
      <c r="C142" s="62">
        <v>45238</v>
      </c>
      <c r="D142" s="47" t="s">
        <v>41</v>
      </c>
      <c r="E142" s="48"/>
      <c r="F142" s="47">
        <v>17</v>
      </c>
      <c r="G142" s="67">
        <v>6.9444444444444434E-2</v>
      </c>
      <c r="H142" s="49"/>
      <c r="I142" s="49"/>
      <c r="J142" s="49"/>
      <c r="K142" s="49"/>
      <c r="L142" s="49"/>
      <c r="M142" s="63"/>
      <c r="N142" s="63"/>
      <c r="O142" s="47"/>
      <c r="P142" s="47"/>
      <c r="Q142" s="47"/>
      <c r="R142" s="51"/>
      <c r="S142" s="47"/>
      <c r="T142" s="47"/>
      <c r="U142" s="51"/>
      <c r="V142" s="47" t="s">
        <v>195</v>
      </c>
      <c r="W142" s="47"/>
      <c r="X142" s="47"/>
      <c r="Y142" s="47"/>
      <c r="Z142" s="47"/>
      <c r="AA142" s="47"/>
      <c r="AB142" s="47"/>
      <c r="AC142" s="47"/>
      <c r="AD142" s="47"/>
      <c r="AE142" s="47"/>
      <c r="AF142" s="47"/>
      <c r="AG142" s="47"/>
      <c r="AH142" s="47"/>
      <c r="AI142" s="47"/>
    </row>
    <row r="143" spans="1:35" s="95" customFormat="1" ht="14" hidden="1" x14ac:dyDescent="0.2">
      <c r="A143" s="116">
        <f t="shared" si="167"/>
        <v>45238.079861111109</v>
      </c>
      <c r="B143" s="94" t="s">
        <v>196</v>
      </c>
      <c r="C143" s="116">
        <v>45238</v>
      </c>
      <c r="D143" s="94" t="s">
        <v>41</v>
      </c>
      <c r="E143" s="117"/>
      <c r="F143" s="94">
        <v>559</v>
      </c>
      <c r="G143" s="127">
        <v>7.9861111111111105E-2</v>
      </c>
      <c r="H143" s="96"/>
      <c r="I143" s="96"/>
      <c r="J143" s="96"/>
      <c r="K143" s="96"/>
      <c r="L143" s="96"/>
      <c r="M143" s="97"/>
      <c r="N143" s="97"/>
      <c r="O143" s="94"/>
      <c r="P143" s="94"/>
      <c r="Q143" s="94"/>
      <c r="R143" s="126"/>
      <c r="S143" s="94"/>
      <c r="T143" s="94"/>
      <c r="U143" s="126"/>
      <c r="V143" s="94"/>
      <c r="W143" s="94"/>
      <c r="X143" s="94"/>
      <c r="Y143" s="94"/>
      <c r="Z143" s="94"/>
      <c r="AA143" s="94"/>
      <c r="AB143" s="94"/>
      <c r="AC143" s="94"/>
      <c r="AD143" s="94"/>
      <c r="AE143" s="94"/>
      <c r="AF143" s="94"/>
      <c r="AG143" s="94"/>
      <c r="AH143" s="94"/>
      <c r="AI143" s="94"/>
    </row>
    <row r="144" spans="1:35" ht="14" hidden="1" x14ac:dyDescent="0.2">
      <c r="A144" s="62"/>
      <c r="B144" s="47" t="s">
        <v>197</v>
      </c>
      <c r="C144" s="47"/>
      <c r="D144" s="47"/>
      <c r="E144" s="48"/>
      <c r="F144" s="47"/>
      <c r="G144" s="47"/>
      <c r="H144" s="49"/>
      <c r="I144" s="49"/>
      <c r="J144" s="49"/>
      <c r="K144" s="49"/>
      <c r="L144" s="49"/>
      <c r="M144" s="63"/>
      <c r="N144" s="63"/>
      <c r="O144" s="47"/>
      <c r="P144" s="47"/>
      <c r="Q144" s="47"/>
      <c r="R144" s="51"/>
      <c r="S144" s="47"/>
      <c r="T144" s="47"/>
      <c r="U144" s="51"/>
      <c r="V144" s="47"/>
      <c r="W144" s="47"/>
      <c r="X144" s="47"/>
      <c r="Y144" s="47"/>
      <c r="Z144" s="47"/>
      <c r="AA144" s="47"/>
      <c r="AB144" s="47"/>
      <c r="AC144" s="47"/>
      <c r="AD144" s="47"/>
      <c r="AE144" s="47"/>
      <c r="AF144" s="47"/>
      <c r="AG144" s="47"/>
      <c r="AH144" s="47"/>
      <c r="AI144" s="47"/>
    </row>
    <row r="145" spans="1:35" ht="14" hidden="1" x14ac:dyDescent="0.2">
      <c r="A145" s="62"/>
      <c r="B145" s="47" t="s">
        <v>198</v>
      </c>
      <c r="C145" s="47"/>
      <c r="D145" s="47"/>
      <c r="E145" s="48"/>
      <c r="F145" s="47"/>
      <c r="G145" s="47"/>
      <c r="H145" s="49"/>
      <c r="I145" s="49"/>
      <c r="J145" s="49"/>
      <c r="K145" s="49"/>
      <c r="L145" s="49"/>
      <c r="M145" s="63"/>
      <c r="N145" s="63"/>
      <c r="O145" s="47"/>
      <c r="P145" s="47"/>
      <c r="Q145" s="47"/>
      <c r="R145" s="51"/>
      <c r="S145" s="47"/>
      <c r="T145" s="47"/>
      <c r="U145" s="51"/>
      <c r="V145" s="47"/>
      <c r="W145" s="47"/>
      <c r="X145" s="47"/>
      <c r="Y145" s="47"/>
      <c r="Z145" s="47"/>
      <c r="AA145" s="47"/>
      <c r="AB145" s="47"/>
      <c r="AC145" s="47"/>
      <c r="AD145" s="47"/>
      <c r="AE145" s="47"/>
      <c r="AF145" s="47"/>
      <c r="AG145" s="47"/>
      <c r="AH145" s="47"/>
      <c r="AI145" s="47"/>
    </row>
    <row r="146" spans="1:35" s="101" customFormat="1" ht="15" hidden="1" customHeight="1" x14ac:dyDescent="0.2">
      <c r="A146" s="129">
        <f t="shared" si="167"/>
        <v>45238.15625</v>
      </c>
      <c r="B146" s="100" t="s">
        <v>199</v>
      </c>
      <c r="C146" s="129">
        <v>45238</v>
      </c>
      <c r="D146" s="100" t="s">
        <v>41</v>
      </c>
      <c r="E146" s="107">
        <v>0.77600000000000002</v>
      </c>
      <c r="F146" s="100">
        <v>469</v>
      </c>
      <c r="G146" s="108">
        <v>0.15625</v>
      </c>
      <c r="H146" s="103">
        <v>8.75</v>
      </c>
      <c r="I146" s="103"/>
      <c r="J146" s="103">
        <v>447.59</v>
      </c>
      <c r="K146" s="103">
        <v>456.57</v>
      </c>
      <c r="L146" s="103">
        <f>J146-K146</f>
        <v>-8.9800000000000182</v>
      </c>
      <c r="M146" s="104">
        <v>31.718800000000002</v>
      </c>
      <c r="N146" s="104">
        <v>16.425000000000001</v>
      </c>
      <c r="O146" s="105">
        <f>((1000+M146)/$R$22)-1000</f>
        <v>21.665806061056742</v>
      </c>
      <c r="P146" s="105">
        <f>((1000+N146)/$U$22)-1000</f>
        <v>11.273702113169179</v>
      </c>
      <c r="Q146" s="104">
        <f>1000*(LN(P146/1000+1))</f>
        <v>11.210627546711162</v>
      </c>
      <c r="R146" s="106">
        <f>1000*(LN(O146/1000+1))</f>
        <v>21.434438365116613</v>
      </c>
      <c r="S146" s="104">
        <f>Q146-0.528*R146</f>
        <v>-0.10675591007040985</v>
      </c>
      <c r="T146" s="100"/>
      <c r="U146" s="152">
        <f>(O146-30.91)/1.03091</f>
        <v>-8.9670232502771903</v>
      </c>
      <c r="V146" s="100" t="s">
        <v>200</v>
      </c>
      <c r="W146" s="100"/>
      <c r="X146" s="100"/>
      <c r="Y146" s="100"/>
      <c r="Z146" s="100"/>
      <c r="AA146" s="100"/>
      <c r="AB146" s="100"/>
      <c r="AC146" s="100"/>
      <c r="AD146" s="100"/>
      <c r="AE146" s="100"/>
      <c r="AF146" s="100"/>
      <c r="AG146" s="100"/>
      <c r="AH146" s="100"/>
      <c r="AI146" s="100"/>
    </row>
    <row r="147" spans="1:35" ht="15" hidden="1" customHeight="1" x14ac:dyDescent="0.2">
      <c r="A147" s="62">
        <f t="shared" si="167"/>
        <v>45238.208333333336</v>
      </c>
      <c r="B147" s="47" t="s">
        <v>201</v>
      </c>
      <c r="C147" s="62">
        <v>45238</v>
      </c>
      <c r="D147" s="47" t="s">
        <v>41</v>
      </c>
      <c r="E147" s="48">
        <v>1.016</v>
      </c>
      <c r="F147" s="47" t="s">
        <v>202</v>
      </c>
      <c r="G147" s="67">
        <v>0.20833333333333334</v>
      </c>
      <c r="H147" s="49">
        <v>10</v>
      </c>
      <c r="I147" s="49"/>
      <c r="J147" s="49"/>
      <c r="K147" s="49"/>
      <c r="L147" s="49"/>
      <c r="M147" s="50"/>
      <c r="N147" s="63"/>
      <c r="O147" s="50"/>
      <c r="P147" s="50"/>
      <c r="Q147" s="63"/>
      <c r="R147" s="93"/>
      <c r="S147" s="63"/>
      <c r="T147" s="47"/>
      <c r="U147" s="150"/>
      <c r="V147" s="47" t="s">
        <v>203</v>
      </c>
      <c r="W147" s="47"/>
      <c r="X147" s="47"/>
      <c r="Y147" s="47"/>
      <c r="Z147" s="47"/>
      <c r="AA147" s="47"/>
      <c r="AB147" s="47"/>
      <c r="AC147" s="47"/>
      <c r="AD147" s="47"/>
      <c r="AE147" s="47"/>
      <c r="AF147" s="47"/>
      <c r="AG147" s="47"/>
      <c r="AH147" s="47"/>
      <c r="AI147" s="47"/>
    </row>
    <row r="148" spans="1:35" s="101" customFormat="1" ht="15" hidden="1" customHeight="1" x14ac:dyDescent="0.2">
      <c r="A148" s="129">
        <f t="shared" si="167"/>
        <v>45238.25</v>
      </c>
      <c r="B148" s="100" t="s">
        <v>204</v>
      </c>
      <c r="C148" s="129">
        <v>45238</v>
      </c>
      <c r="D148" s="100" t="s">
        <v>41</v>
      </c>
      <c r="E148" s="107">
        <v>1.26</v>
      </c>
      <c r="F148" s="100">
        <v>491</v>
      </c>
      <c r="G148" s="108">
        <v>0.25</v>
      </c>
      <c r="H148" s="103">
        <v>11</v>
      </c>
      <c r="I148" s="103"/>
      <c r="J148" s="103">
        <v>459.17</v>
      </c>
      <c r="K148" s="103">
        <v>456.67</v>
      </c>
      <c r="L148" s="103">
        <f>J148-K148</f>
        <v>2.5</v>
      </c>
      <c r="M148" s="104">
        <v>31.9953</v>
      </c>
      <c r="N148" s="104">
        <v>16.579000000000001</v>
      </c>
      <c r="O148" s="105">
        <f>((1000+M148)/$R$22)-1000</f>
        <v>21.939611864901508</v>
      </c>
      <c r="P148" s="105">
        <f>((1000+N148)/$U$22)-1000</f>
        <v>11.426921632686572</v>
      </c>
      <c r="Q148" s="104">
        <f t="shared" ref="Q148:Q154" si="172">1000*(LN(P148/1000+1))</f>
        <v>11.362127494861285</v>
      </c>
      <c r="R148" s="106">
        <f t="shared" ref="R148" si="173">1000*(LN(O148/1000+1))</f>
        <v>21.702401840923979</v>
      </c>
      <c r="S148" s="104">
        <f t="shared" ref="S148" si="174">Q148-0.528*R148</f>
        <v>-9.6740677146575749E-2</v>
      </c>
      <c r="T148" s="100"/>
      <c r="U148" s="152">
        <f t="shared" ref="U148:U150" si="175">(O148-30.91)/1.03091</f>
        <v>-8.7014270257330821</v>
      </c>
      <c r="V148" s="100"/>
      <c r="W148" s="100"/>
      <c r="X148" s="100"/>
      <c r="Y148" s="100"/>
      <c r="Z148" s="100"/>
      <c r="AA148" s="100"/>
      <c r="AB148" s="100"/>
      <c r="AC148" s="100"/>
      <c r="AD148" s="100"/>
      <c r="AE148" s="100"/>
      <c r="AF148" s="100"/>
      <c r="AG148" s="100"/>
      <c r="AH148" s="100"/>
      <c r="AI148" s="100"/>
    </row>
    <row r="149" spans="1:35" ht="15" hidden="1" customHeight="1" x14ac:dyDescent="0.2">
      <c r="A149" s="62">
        <f t="shared" si="167"/>
        <v>45238</v>
      </c>
      <c r="B149" s="47" t="s">
        <v>205</v>
      </c>
      <c r="C149" s="62">
        <v>45238</v>
      </c>
      <c r="D149" s="47" t="s">
        <v>44</v>
      </c>
      <c r="E149" s="48">
        <v>1.0089999999999999</v>
      </c>
      <c r="F149" s="47">
        <v>429</v>
      </c>
      <c r="G149" s="47"/>
      <c r="H149" s="49"/>
      <c r="I149" s="49"/>
      <c r="J149" s="49"/>
      <c r="K149" s="49"/>
      <c r="L149" s="49"/>
      <c r="M149" s="63"/>
      <c r="N149" s="63"/>
      <c r="O149" s="50"/>
      <c r="P149" s="50"/>
      <c r="Q149" s="63"/>
      <c r="R149" s="93"/>
      <c r="S149" s="63"/>
      <c r="T149" s="47"/>
      <c r="U149" s="150"/>
      <c r="V149" s="47"/>
      <c r="W149" s="47"/>
      <c r="X149" s="47"/>
      <c r="Y149" s="47"/>
      <c r="Z149" s="47"/>
      <c r="AA149" s="47"/>
      <c r="AB149" s="47"/>
      <c r="AC149" s="47"/>
      <c r="AD149" s="47"/>
      <c r="AE149" s="47"/>
      <c r="AF149" s="47"/>
      <c r="AG149" s="47"/>
      <c r="AH149" s="47"/>
      <c r="AI149" s="47"/>
    </row>
    <row r="150" spans="1:35" s="125" customFormat="1" ht="15" hidden="1" customHeight="1" x14ac:dyDescent="0.2">
      <c r="A150" s="154">
        <f t="shared" si="167"/>
        <v>45238.3125</v>
      </c>
      <c r="B150" s="119" t="s">
        <v>206</v>
      </c>
      <c r="C150" s="154">
        <v>45238</v>
      </c>
      <c r="D150" s="119" t="s">
        <v>44</v>
      </c>
      <c r="E150" s="120">
        <v>1.1930000000000001</v>
      </c>
      <c r="F150" s="119">
        <v>578</v>
      </c>
      <c r="G150" s="130">
        <v>0.3125</v>
      </c>
      <c r="H150" s="121"/>
      <c r="I150" s="121"/>
      <c r="J150" s="121">
        <v>458.42</v>
      </c>
      <c r="K150" s="121">
        <v>456.6</v>
      </c>
      <c r="L150" s="121">
        <f>J150-K150</f>
        <v>1.8199999999999932</v>
      </c>
      <c r="M150" s="122">
        <v>35.024900000000002</v>
      </c>
      <c r="N150" s="122">
        <v>18.180800000000001</v>
      </c>
      <c r="O150" s="123">
        <f>((1000+M150)/$R$22)-1000</f>
        <v>24.939691659940991</v>
      </c>
      <c r="P150" s="123">
        <f>((1000+N150)/$U$22)-1000</f>
        <v>13.020603622056115</v>
      </c>
      <c r="Q150" s="122">
        <f t="shared" si="172"/>
        <v>12.936564272003652</v>
      </c>
      <c r="R150" s="124">
        <f t="shared" ref="R150" si="176">1000*(LN(O150/1000+1))</f>
        <v>24.633773454447805</v>
      </c>
      <c r="S150" s="122">
        <f t="shared" ref="S150" si="177">Q150-0.528*R150</f>
        <v>-7.0068111944790346E-2</v>
      </c>
      <c r="T150" s="119"/>
      <c r="U150" s="155">
        <f t="shared" si="175"/>
        <v>-5.7912992793347717</v>
      </c>
      <c r="V150" s="119"/>
      <c r="W150" s="119"/>
      <c r="X150" s="119"/>
      <c r="Y150" s="119"/>
      <c r="Z150" s="119"/>
      <c r="AA150" s="119"/>
      <c r="AB150" s="119"/>
      <c r="AC150" s="119"/>
      <c r="AD150" s="119"/>
      <c r="AE150" s="119"/>
      <c r="AF150" s="119"/>
      <c r="AG150" s="119"/>
      <c r="AH150" s="119"/>
      <c r="AI150" s="119"/>
    </row>
    <row r="151" spans="1:35" s="101" customFormat="1" ht="15" hidden="1" customHeight="1" x14ac:dyDescent="0.2">
      <c r="A151" s="129">
        <f t="shared" si="167"/>
        <v>45238.369444444441</v>
      </c>
      <c r="B151" s="100" t="s">
        <v>207</v>
      </c>
      <c r="C151" s="129">
        <v>45238</v>
      </c>
      <c r="D151" s="100" t="s">
        <v>44</v>
      </c>
      <c r="E151" s="107">
        <v>1.262</v>
      </c>
      <c r="F151" s="100">
        <v>508</v>
      </c>
      <c r="G151" s="108">
        <v>0.36944444444444446</v>
      </c>
      <c r="H151" s="103"/>
      <c r="I151" s="103"/>
      <c r="J151" s="103">
        <v>458.42</v>
      </c>
      <c r="K151" s="103">
        <v>456.6</v>
      </c>
      <c r="L151" s="103">
        <f>J151-K151</f>
        <v>1.8199999999999932</v>
      </c>
      <c r="M151" s="104">
        <v>31.577999999999999</v>
      </c>
      <c r="N151" s="104">
        <v>16.2913</v>
      </c>
      <c r="O151" s="105">
        <f>((1000+M151)/$R$22)-1000</f>
        <v>21.526378006151162</v>
      </c>
      <c r="P151" s="105">
        <f>((1000+N151)/$U$22)-1000</f>
        <v>11.14067971213376</v>
      </c>
      <c r="Q151" s="104">
        <f t="shared" si="172"/>
        <v>11.079079430338313</v>
      </c>
      <c r="R151" s="106">
        <f t="shared" ref="R151" si="178">1000*(LN(O151/1000+1))</f>
        <v>21.297957757752002</v>
      </c>
      <c r="S151" s="104">
        <f t="shared" ref="S151" si="179">Q151-0.528*R151</f>
        <v>-0.16624226575474488</v>
      </c>
      <c r="T151" s="100"/>
      <c r="U151" s="152">
        <f t="shared" ref="U151" si="180">(O151-30.91)/1.03091</f>
        <v>-9.1022708033182695</v>
      </c>
      <c r="V151" s="100"/>
      <c r="W151" s="100"/>
      <c r="X151" s="100"/>
      <c r="Y151" s="100"/>
      <c r="Z151" s="100"/>
      <c r="AA151" s="100"/>
      <c r="AB151" s="100"/>
      <c r="AC151" s="100"/>
      <c r="AD151" s="100"/>
      <c r="AE151" s="100"/>
      <c r="AF151" s="100"/>
      <c r="AG151" s="100"/>
      <c r="AH151" s="100"/>
      <c r="AI151" s="100"/>
    </row>
    <row r="152" spans="1:35" s="125" customFormat="1" ht="15" hidden="1" customHeight="1" x14ac:dyDescent="0.2">
      <c r="A152" s="154">
        <f t="shared" si="167"/>
        <v>45238.4375</v>
      </c>
      <c r="B152" s="119" t="s">
        <v>208</v>
      </c>
      <c r="C152" s="154">
        <v>45238</v>
      </c>
      <c r="D152" s="119" t="s">
        <v>44</v>
      </c>
      <c r="E152" s="120">
        <v>1.218</v>
      </c>
      <c r="F152" s="119" t="s">
        <v>161</v>
      </c>
      <c r="G152" s="130">
        <v>0.4375</v>
      </c>
      <c r="H152" s="121"/>
      <c r="I152" s="121"/>
      <c r="J152" s="121">
        <v>462.45</v>
      </c>
      <c r="K152" s="121">
        <v>456.27</v>
      </c>
      <c r="L152" s="121">
        <f>J152-K152</f>
        <v>6.1800000000000068</v>
      </c>
      <c r="M152" s="122">
        <v>34.9465</v>
      </c>
      <c r="N152" s="122">
        <v>18.116900000000001</v>
      </c>
      <c r="O152" s="123">
        <f>((1000+M152)/$R$22)-1000</f>
        <v>24.862055583914298</v>
      </c>
      <c r="P152" s="123">
        <f>((1000+N152)/$U$22)-1000</f>
        <v>12.95702747077587</v>
      </c>
      <c r="Q152" s="122">
        <f t="shared" si="172"/>
        <v>12.873803311245203</v>
      </c>
      <c r="R152" s="124">
        <f t="shared" ref="R152" si="181">1000*(LN(O152/1000+1))</f>
        <v>24.558023615549352</v>
      </c>
      <c r="S152" s="122">
        <f t="shared" ref="S152" si="182">Q152-0.528*R152</f>
        <v>-9.2833157764856011E-2</v>
      </c>
      <c r="T152" s="119"/>
      <c r="U152" s="155">
        <f t="shared" ref="U152" si="183">(O152-30.91)/1.03091</f>
        <v>-5.8666075759141947</v>
      </c>
      <c r="V152" s="119" t="s">
        <v>209</v>
      </c>
      <c r="W152" s="119" t="s">
        <v>210</v>
      </c>
      <c r="X152" s="119"/>
      <c r="Y152" s="119"/>
      <c r="Z152" s="119"/>
      <c r="AA152" s="119"/>
      <c r="AB152" s="119"/>
      <c r="AC152" s="119"/>
      <c r="AD152" s="119"/>
      <c r="AE152" s="119"/>
      <c r="AF152" s="119"/>
      <c r="AG152" s="119"/>
      <c r="AH152" s="119"/>
      <c r="AI152" s="119"/>
    </row>
    <row r="153" spans="1:35" ht="15" hidden="1" customHeight="1" x14ac:dyDescent="0.2">
      <c r="A153" s="62">
        <f t="shared" si="167"/>
        <v>45238</v>
      </c>
      <c r="B153" s="47" t="s">
        <v>211</v>
      </c>
      <c r="C153" s="62">
        <v>45238</v>
      </c>
      <c r="D153" s="47" t="s">
        <v>44</v>
      </c>
      <c r="E153" s="48">
        <v>0.85</v>
      </c>
      <c r="F153" s="47">
        <v>470</v>
      </c>
      <c r="G153" s="47"/>
      <c r="H153" s="49"/>
      <c r="I153" s="49"/>
      <c r="J153" s="49"/>
      <c r="K153" s="49"/>
      <c r="L153" s="49"/>
      <c r="M153" s="63"/>
      <c r="N153" s="63"/>
      <c r="O153" s="50"/>
      <c r="P153" s="50"/>
      <c r="Q153" s="63"/>
      <c r="R153" s="93"/>
      <c r="S153" s="63"/>
      <c r="T153" s="47"/>
      <c r="U153" s="150"/>
      <c r="V153" s="47" t="s">
        <v>212</v>
      </c>
      <c r="W153" s="47"/>
      <c r="X153" s="47"/>
      <c r="Y153" s="47"/>
      <c r="Z153" s="47"/>
      <c r="AA153" s="47"/>
      <c r="AB153" s="47"/>
      <c r="AC153" s="47"/>
      <c r="AD153" s="47"/>
      <c r="AE153" s="47"/>
      <c r="AF153" s="47"/>
      <c r="AG153" s="47"/>
      <c r="AH153" s="47"/>
      <c r="AI153" s="47"/>
    </row>
    <row r="154" spans="1:35" s="125" customFormat="1" ht="15" hidden="1" customHeight="1" x14ac:dyDescent="0.2">
      <c r="A154" s="154">
        <f t="shared" si="167"/>
        <v>45238.5</v>
      </c>
      <c r="B154" s="119" t="s">
        <v>213</v>
      </c>
      <c r="C154" s="154">
        <v>45238</v>
      </c>
      <c r="D154" s="119" t="s">
        <v>44</v>
      </c>
      <c r="E154" s="120">
        <v>1.1879999999999999</v>
      </c>
      <c r="F154" s="119">
        <v>538</v>
      </c>
      <c r="G154" s="130">
        <v>0.5</v>
      </c>
      <c r="H154" s="121"/>
      <c r="I154" s="121"/>
      <c r="J154" s="121">
        <v>456.55</v>
      </c>
      <c r="K154" s="121">
        <v>456.28</v>
      </c>
      <c r="L154" s="121">
        <f t="shared" ref="L154" si="184">J154-K154</f>
        <v>0.27000000000003865</v>
      </c>
      <c r="M154" s="122">
        <v>34.902099999999997</v>
      </c>
      <c r="N154" s="122">
        <v>18.0962</v>
      </c>
      <c r="O154" s="123">
        <f>((1000+M154)/$R$22)-1000</f>
        <v>24.818088214327645</v>
      </c>
      <c r="P154" s="123">
        <f>((1000+N154)/$U$22)-1000</f>
        <v>12.936432379515963</v>
      </c>
      <c r="Q154" s="122">
        <f t="shared" si="172"/>
        <v>12.853471451087101</v>
      </c>
      <c r="R154" s="124">
        <f t="shared" ref="R154" si="185">1000*(LN(O154/1000+1))</f>
        <v>24.515121926984484</v>
      </c>
      <c r="S154" s="122">
        <f t="shared" ref="S154" si="186">Q154-0.528*R154</f>
        <v>-9.0512926360707624E-2</v>
      </c>
      <c r="T154" s="119"/>
      <c r="U154" s="155">
        <f t="shared" ref="U154" si="187">(O154-30.91)/1.03091</f>
        <v>-5.9092566622424414</v>
      </c>
      <c r="V154" s="119"/>
      <c r="W154" s="119"/>
      <c r="X154" s="119"/>
      <c r="Y154" s="119"/>
      <c r="Z154" s="119"/>
      <c r="AA154" s="119"/>
      <c r="AB154" s="119"/>
      <c r="AC154" s="119"/>
      <c r="AD154" s="119"/>
      <c r="AE154" s="119"/>
      <c r="AF154" s="119"/>
      <c r="AG154" s="119"/>
      <c r="AH154" s="119"/>
      <c r="AI154" s="119"/>
    </row>
    <row r="155" spans="1:35" ht="15" hidden="1" customHeight="1" x14ac:dyDescent="0.2">
      <c r="A155" s="62"/>
      <c r="B155" s="47" t="s">
        <v>214</v>
      </c>
      <c r="C155" s="47"/>
      <c r="D155" s="47"/>
      <c r="E155" s="48"/>
      <c r="F155" s="47"/>
      <c r="G155" s="47"/>
      <c r="H155" s="49"/>
      <c r="I155" s="49"/>
      <c r="J155" s="49"/>
      <c r="K155" s="49"/>
      <c r="L155" s="49"/>
      <c r="M155" s="63"/>
      <c r="N155" s="63"/>
      <c r="O155" s="47"/>
      <c r="P155" s="47"/>
      <c r="Q155" s="47"/>
      <c r="R155" s="51"/>
      <c r="S155" s="47"/>
      <c r="T155" s="47"/>
      <c r="U155" s="51"/>
      <c r="V155" s="47"/>
      <c r="W155" s="47"/>
      <c r="X155" s="47"/>
      <c r="Y155" s="47"/>
      <c r="Z155" s="47"/>
      <c r="AA155" s="47"/>
      <c r="AB155" s="47"/>
      <c r="AC155" s="47"/>
      <c r="AD155" s="47"/>
      <c r="AE155" s="47"/>
      <c r="AF155" s="47"/>
      <c r="AG155" s="47"/>
      <c r="AH155" s="47"/>
      <c r="AI155" s="47"/>
    </row>
    <row r="156" spans="1:35" s="101" customFormat="1" ht="15" hidden="1" customHeight="1" x14ac:dyDescent="0.2">
      <c r="A156" s="129">
        <f t="shared" si="167"/>
        <v>45238.666666666664</v>
      </c>
      <c r="B156" s="100" t="s">
        <v>215</v>
      </c>
      <c r="C156" s="129">
        <v>45238</v>
      </c>
      <c r="D156" s="100" t="s">
        <v>53</v>
      </c>
      <c r="E156" s="107">
        <v>1.1779999999999999</v>
      </c>
      <c r="F156" s="100">
        <v>495</v>
      </c>
      <c r="G156" s="108">
        <v>0.66666666666666663</v>
      </c>
      <c r="H156" s="103">
        <v>21</v>
      </c>
      <c r="I156" s="103"/>
      <c r="J156" s="103">
        <v>461.23</v>
      </c>
      <c r="K156" s="103">
        <v>456.04</v>
      </c>
      <c r="L156" s="103">
        <f>J156-K156</f>
        <v>5.1899999999999977</v>
      </c>
      <c r="M156" s="104">
        <v>31.106999999999999</v>
      </c>
      <c r="N156" s="104">
        <v>16.106200000000001</v>
      </c>
      <c r="O156" s="105">
        <f>((1000+M156)/$R$22)-1000</f>
        <v>21.059967396346678</v>
      </c>
      <c r="P156" s="105">
        <f>((1000+N156)/$U$22)-1000</f>
        <v>10.956517809129423</v>
      </c>
      <c r="Q156" s="104">
        <f t="shared" ref="Q156" si="188">1000*(LN(P156/1000+1))</f>
        <v>10.896930022545796</v>
      </c>
      <c r="R156" s="106">
        <f t="shared" ref="R156" si="189">1000*(LN(O156/1000+1))</f>
        <v>20.841271440465515</v>
      </c>
      <c r="S156" s="104">
        <f t="shared" ref="S156" si="190">Q156-0.528*R156</f>
        <v>-0.1072612980199974</v>
      </c>
      <c r="T156" s="100"/>
      <c r="U156" s="152">
        <f t="shared" ref="U156" si="191">(O156-30.91)/1.03091</f>
        <v>-9.5546969218004687</v>
      </c>
      <c r="V156" s="100" t="s">
        <v>216</v>
      </c>
      <c r="W156" s="100"/>
      <c r="X156" s="100"/>
      <c r="Y156" s="100"/>
      <c r="Z156" s="100"/>
      <c r="AA156" s="100"/>
      <c r="AB156" s="100"/>
      <c r="AC156" s="100"/>
      <c r="AD156" s="100"/>
      <c r="AE156" s="100"/>
      <c r="AF156" s="100"/>
      <c r="AG156" s="100"/>
      <c r="AH156" s="100"/>
      <c r="AI156" s="100"/>
    </row>
    <row r="157" spans="1:35" s="125" customFormat="1" ht="15" hidden="1" customHeight="1" x14ac:dyDescent="0.2">
      <c r="A157" s="154">
        <f t="shared" si="167"/>
        <v>45238.708333333336</v>
      </c>
      <c r="B157" s="119" t="s">
        <v>217</v>
      </c>
      <c r="C157" s="154">
        <v>45238</v>
      </c>
      <c r="D157" s="119" t="s">
        <v>53</v>
      </c>
      <c r="E157" s="120"/>
      <c r="F157" s="119">
        <v>507</v>
      </c>
      <c r="G157" s="130">
        <v>0.70833333333333337</v>
      </c>
      <c r="H157" s="121">
        <v>22</v>
      </c>
      <c r="I157" s="121"/>
      <c r="J157" s="121">
        <v>461.44</v>
      </c>
      <c r="K157" s="121">
        <v>456.08</v>
      </c>
      <c r="L157" s="121">
        <f t="shared" ref="L157" si="192">J157-K157</f>
        <v>5.3600000000000136</v>
      </c>
      <c r="M157" s="122">
        <v>35.838299999999997</v>
      </c>
      <c r="N157" s="122">
        <v>18.568100000000001</v>
      </c>
      <c r="O157" s="123">
        <f>((1000+M157)/$R$22)-1000</f>
        <v>25.745165948720114</v>
      </c>
      <c r="P157" s="123">
        <f>((1000+N157)/$U$22)-1000</f>
        <v>13.405940764322736</v>
      </c>
      <c r="Q157" s="122">
        <f t="shared" ref="Q157:Q158" si="193">1000*(LN(P157/1000+1))</f>
        <v>13.316876253189053</v>
      </c>
      <c r="R157" s="124">
        <f t="shared" ref="R157:R158" si="194">1000*(LN(O157/1000+1))</f>
        <v>25.419339629779916</v>
      </c>
      <c r="S157" s="122">
        <f t="shared" ref="S157:S158" si="195">Q157-0.528*R157</f>
        <v>-0.1045350713347446</v>
      </c>
      <c r="T157" s="119"/>
      <c r="U157" s="155">
        <f t="shared" ref="U157:U158" si="196">(O157-30.91)/1.03091</f>
        <v>-5.0099757023211398</v>
      </c>
      <c r="V157" s="119"/>
      <c r="W157" s="119"/>
      <c r="X157" s="119"/>
      <c r="Y157" s="119"/>
      <c r="Z157" s="119"/>
      <c r="AA157" s="119"/>
      <c r="AB157" s="119"/>
      <c r="AC157" s="119"/>
      <c r="AD157" s="119"/>
      <c r="AE157" s="119"/>
      <c r="AF157" s="119"/>
      <c r="AG157" s="119"/>
      <c r="AH157" s="119"/>
      <c r="AI157" s="119"/>
    </row>
    <row r="158" spans="1:35" s="101" customFormat="1" ht="15" hidden="1" customHeight="1" x14ac:dyDescent="0.2">
      <c r="A158" s="129">
        <f t="shared" si="167"/>
        <v>45238.760416666664</v>
      </c>
      <c r="B158" s="100" t="s">
        <v>218</v>
      </c>
      <c r="C158" s="129">
        <v>45238</v>
      </c>
      <c r="D158" s="100" t="s">
        <v>53</v>
      </c>
      <c r="E158" s="107">
        <v>1.151</v>
      </c>
      <c r="F158" s="100">
        <v>577</v>
      </c>
      <c r="G158" s="108">
        <v>0.76041666666666663</v>
      </c>
      <c r="H158" s="103">
        <v>23.25</v>
      </c>
      <c r="I158" s="103"/>
      <c r="J158" s="103">
        <v>456.19</v>
      </c>
      <c r="K158" s="103">
        <v>456.08</v>
      </c>
      <c r="L158" s="103">
        <f>J158-K158</f>
        <v>0.11000000000001364</v>
      </c>
      <c r="M158" s="104">
        <v>31.625599999999999</v>
      </c>
      <c r="N158" s="104">
        <v>16.367599999999999</v>
      </c>
      <c r="O158" s="105">
        <f>((1000+M158)/$R$22)-1000</f>
        <v>21.573514195167604</v>
      </c>
      <c r="P158" s="105">
        <f>((1000+N158)/$U$22)-1000</f>
        <v>11.216593019531047</v>
      </c>
      <c r="Q158" s="104">
        <f t="shared" si="193"/>
        <v>11.15415351191286</v>
      </c>
      <c r="R158" s="106">
        <f t="shared" si="194"/>
        <v>21.344099592720234</v>
      </c>
      <c r="S158" s="104">
        <f t="shared" si="195"/>
        <v>-0.11553107304342447</v>
      </c>
      <c r="T158" s="100"/>
      <c r="U158" s="152">
        <f t="shared" si="196"/>
        <v>-9.0565479089662499</v>
      </c>
      <c r="V158" s="100"/>
      <c r="W158" s="100"/>
      <c r="X158" s="100"/>
      <c r="Y158" s="100"/>
      <c r="Z158" s="100"/>
      <c r="AA158" s="100"/>
      <c r="AB158" s="100"/>
      <c r="AC158" s="100"/>
      <c r="AD158" s="100"/>
      <c r="AE158" s="100"/>
      <c r="AF158" s="100"/>
      <c r="AG158" s="100"/>
      <c r="AH158" s="100"/>
      <c r="AI158" s="100"/>
    </row>
    <row r="159" spans="1:35" ht="15" hidden="1" customHeight="1" x14ac:dyDescent="0.2">
      <c r="A159" s="62">
        <f t="shared" si="167"/>
        <v>45238.8125</v>
      </c>
      <c r="B159" s="47" t="s">
        <v>219</v>
      </c>
      <c r="C159" s="62">
        <v>45238</v>
      </c>
      <c r="D159" s="47" t="s">
        <v>53</v>
      </c>
      <c r="E159" s="48"/>
      <c r="F159" s="47">
        <v>435</v>
      </c>
      <c r="G159" s="67">
        <v>0.8125</v>
      </c>
      <c r="H159" s="49">
        <v>24.5</v>
      </c>
      <c r="I159" s="49"/>
      <c r="J159" s="49"/>
      <c r="K159" s="49"/>
      <c r="L159" s="49"/>
      <c r="M159" s="63"/>
      <c r="N159" s="63"/>
      <c r="O159" s="47"/>
      <c r="P159" s="47"/>
      <c r="Q159" s="47"/>
      <c r="R159" s="51"/>
      <c r="S159" s="47"/>
      <c r="T159" s="47"/>
      <c r="U159" s="51"/>
      <c r="V159" s="47" t="s">
        <v>220</v>
      </c>
      <c r="W159" s="47"/>
      <c r="X159" s="47"/>
      <c r="Y159" s="47"/>
      <c r="Z159" s="47"/>
      <c r="AA159" s="47"/>
      <c r="AB159" s="47"/>
      <c r="AC159" s="47"/>
      <c r="AD159" s="47"/>
      <c r="AE159" s="47"/>
      <c r="AF159" s="47"/>
      <c r="AG159" s="47"/>
      <c r="AH159" s="47"/>
      <c r="AI159" s="47"/>
    </row>
    <row r="160" spans="1:35" ht="15" hidden="1" customHeight="1" x14ac:dyDescent="0.2">
      <c r="A160" s="62">
        <f t="shared" si="167"/>
        <v>45238.822916666664</v>
      </c>
      <c r="B160" s="47" t="s">
        <v>221</v>
      </c>
      <c r="C160" s="62">
        <v>45238</v>
      </c>
      <c r="D160" s="47" t="s">
        <v>53</v>
      </c>
      <c r="E160" s="48">
        <v>1.073</v>
      </c>
      <c r="F160" s="47">
        <v>437</v>
      </c>
      <c r="G160" s="67">
        <v>0.82291666666666663</v>
      </c>
      <c r="H160" s="49">
        <v>24.75</v>
      </c>
      <c r="I160" s="49"/>
      <c r="J160" s="49"/>
      <c r="K160" s="49"/>
      <c r="L160" s="49"/>
      <c r="M160" s="63"/>
      <c r="N160" s="63"/>
      <c r="O160" s="47"/>
      <c r="P160" s="47"/>
      <c r="Q160" s="47"/>
      <c r="R160" s="51"/>
      <c r="S160" s="47"/>
      <c r="T160" s="47"/>
      <c r="U160" s="51"/>
      <c r="V160" s="47"/>
      <c r="W160" s="47"/>
      <c r="X160" s="47"/>
      <c r="Y160" s="47"/>
      <c r="Z160" s="47"/>
      <c r="AA160" s="47"/>
      <c r="AB160" s="47"/>
      <c r="AC160" s="47"/>
      <c r="AD160" s="47"/>
      <c r="AE160" s="47"/>
      <c r="AF160" s="47"/>
      <c r="AG160" s="47"/>
      <c r="AH160" s="47"/>
      <c r="AI160" s="47"/>
    </row>
    <row r="161" spans="1:22" ht="15" hidden="1" customHeight="1" x14ac:dyDescent="0.2">
      <c r="A161" s="62">
        <f t="shared" si="167"/>
        <v>45238.833333333336</v>
      </c>
      <c r="B161" s="47" t="s">
        <v>222</v>
      </c>
      <c r="C161" s="62">
        <v>45238</v>
      </c>
      <c r="D161" s="47" t="s">
        <v>53</v>
      </c>
      <c r="E161" s="48">
        <v>1.028</v>
      </c>
      <c r="F161" s="47">
        <v>406</v>
      </c>
      <c r="G161" s="67">
        <v>0.83333333333333337</v>
      </c>
      <c r="H161" s="49">
        <v>25</v>
      </c>
      <c r="I161" s="49"/>
      <c r="J161" s="49"/>
      <c r="K161" s="49"/>
      <c r="L161" s="49"/>
      <c r="M161" s="63"/>
      <c r="N161" s="63"/>
      <c r="O161" s="47"/>
      <c r="P161" s="47"/>
      <c r="Q161" s="47"/>
      <c r="R161" s="51"/>
      <c r="S161" s="47"/>
      <c r="T161" s="47"/>
      <c r="U161" s="51"/>
      <c r="V161" s="47"/>
    </row>
    <row r="162" spans="1:22" ht="15" hidden="1" customHeight="1" x14ac:dyDescent="0.2">
      <c r="A162" s="62">
        <f t="shared" si="167"/>
        <v>45238</v>
      </c>
      <c r="B162" s="47" t="s">
        <v>223</v>
      </c>
      <c r="C162" s="62">
        <v>45238</v>
      </c>
      <c r="D162" s="47" t="s">
        <v>53</v>
      </c>
      <c r="E162" s="48"/>
      <c r="F162" s="47"/>
      <c r="G162" s="67"/>
      <c r="H162" s="49"/>
      <c r="I162" s="49"/>
      <c r="J162" s="49"/>
      <c r="K162" s="49"/>
      <c r="L162" s="49"/>
      <c r="M162" s="63"/>
      <c r="N162" s="63"/>
      <c r="O162" s="47"/>
      <c r="P162" s="47"/>
      <c r="Q162" s="47"/>
      <c r="R162" s="51"/>
      <c r="S162" s="47"/>
      <c r="T162" s="47"/>
      <c r="U162" s="51"/>
      <c r="V162" s="47"/>
    </row>
    <row r="163" spans="1:22" ht="15" hidden="1" customHeight="1" x14ac:dyDescent="0.2">
      <c r="A163" s="62">
        <f t="shared" si="167"/>
        <v>45238</v>
      </c>
      <c r="B163" s="47" t="s">
        <v>224</v>
      </c>
      <c r="C163" s="62">
        <v>45238</v>
      </c>
      <c r="D163" s="47" t="s">
        <v>41</v>
      </c>
      <c r="E163" s="48"/>
      <c r="F163" s="47"/>
      <c r="G163" s="67"/>
      <c r="H163" s="49"/>
      <c r="I163" s="49"/>
      <c r="J163" s="49"/>
      <c r="K163" s="49"/>
      <c r="L163" s="49"/>
      <c r="M163" s="63"/>
      <c r="N163" s="63"/>
      <c r="O163" s="47"/>
      <c r="P163" s="47"/>
      <c r="Q163" s="47"/>
      <c r="R163" s="51"/>
      <c r="S163" s="47"/>
      <c r="T163" s="47"/>
      <c r="U163" s="51"/>
      <c r="V163" s="47"/>
    </row>
    <row r="164" spans="1:22" s="101" customFormat="1" ht="15" hidden="1" customHeight="1" x14ac:dyDescent="0.2">
      <c r="A164" s="129">
        <f t="shared" si="167"/>
        <v>45238.958333333336</v>
      </c>
      <c r="B164" s="100" t="s">
        <v>225</v>
      </c>
      <c r="C164" s="129">
        <v>45238</v>
      </c>
      <c r="D164" s="100" t="s">
        <v>41</v>
      </c>
      <c r="E164" s="107">
        <v>0.83199999999999996</v>
      </c>
      <c r="F164" s="100" t="s">
        <v>226</v>
      </c>
      <c r="G164" s="108">
        <v>0.95833333333333337</v>
      </c>
      <c r="H164" s="103">
        <v>8</v>
      </c>
      <c r="I164" s="103"/>
      <c r="J164" s="103">
        <v>462.14</v>
      </c>
      <c r="K164" s="103">
        <v>456.51</v>
      </c>
      <c r="L164" s="103">
        <f>J164-K164</f>
        <v>5.6299999999999955</v>
      </c>
      <c r="M164" s="104">
        <v>30.9358</v>
      </c>
      <c r="N164" s="104">
        <v>16.071400000000001</v>
      </c>
      <c r="O164" s="105">
        <f>((1000+M164)/$R$22)-1000</f>
        <v>20.890435556859302</v>
      </c>
      <c r="P164" s="105">
        <f>((1000+N164)/$U$22)-1000</f>
        <v>10.921894177446347</v>
      </c>
      <c r="Q164" s="104">
        <f t="shared" ref="Q164" si="197">1000*(LN(P164/1000+1))</f>
        <v>10.862681047452959</v>
      </c>
      <c r="R164" s="106">
        <f t="shared" ref="R164" si="198">1000*(LN(O164/1000+1))</f>
        <v>20.675222510352654</v>
      </c>
      <c r="S164" s="104">
        <f t="shared" ref="S164" si="199">Q164-0.528*R164</f>
        <v>-5.3836438013242116E-2</v>
      </c>
      <c r="T164" s="100"/>
      <c r="U164" s="152">
        <f t="shared" ref="U164" si="200">(O164-30.91)/1.03091</f>
        <v>-9.7191456510662402</v>
      </c>
      <c r="V164" s="100" t="s">
        <v>227</v>
      </c>
    </row>
    <row r="165" spans="1:22" ht="15" hidden="1" customHeight="1" x14ac:dyDescent="0.2">
      <c r="A165" s="62">
        <f t="shared" si="167"/>
        <v>45239.010416666664</v>
      </c>
      <c r="B165" s="47" t="s">
        <v>228</v>
      </c>
      <c r="C165" s="62">
        <v>45239</v>
      </c>
      <c r="D165" s="47" t="s">
        <v>41</v>
      </c>
      <c r="E165" s="48" t="s">
        <v>161</v>
      </c>
      <c r="F165" s="47">
        <v>180</v>
      </c>
      <c r="G165" s="67">
        <v>1.0416666666666666E-2</v>
      </c>
      <c r="H165" s="49">
        <v>9.25</v>
      </c>
      <c r="I165" s="49"/>
      <c r="J165" s="49"/>
      <c r="K165" s="49"/>
      <c r="L165" s="49"/>
      <c r="M165" s="63"/>
      <c r="N165" s="63"/>
      <c r="O165" s="50"/>
      <c r="P165" s="50"/>
      <c r="Q165" s="63"/>
      <c r="R165" s="93"/>
      <c r="S165" s="63"/>
      <c r="T165" s="47"/>
      <c r="U165" s="51"/>
      <c r="V165" s="47" t="s">
        <v>229</v>
      </c>
    </row>
    <row r="166" spans="1:22" s="101" customFormat="1" ht="15" hidden="1" customHeight="1" x14ac:dyDescent="0.2">
      <c r="A166" s="129">
        <f t="shared" si="167"/>
        <v>45239.020833333336</v>
      </c>
      <c r="B166" s="100" t="s">
        <v>230</v>
      </c>
      <c r="C166" s="129">
        <v>45239</v>
      </c>
      <c r="D166" s="100" t="s">
        <v>41</v>
      </c>
      <c r="E166" s="107">
        <v>0.997</v>
      </c>
      <c r="F166" s="100">
        <v>678</v>
      </c>
      <c r="G166" s="108">
        <v>2.0833333333333332E-2</v>
      </c>
      <c r="H166" s="103">
        <v>9.5</v>
      </c>
      <c r="I166" s="103"/>
      <c r="J166" s="103">
        <v>462.08</v>
      </c>
      <c r="K166" s="103">
        <v>456.57</v>
      </c>
      <c r="L166" s="103">
        <f>J166-K166</f>
        <v>5.5099999999999909</v>
      </c>
      <c r="M166" s="104">
        <v>31.886700000000001</v>
      </c>
      <c r="N166" s="104">
        <v>16.543700000000001</v>
      </c>
      <c r="O166" s="105">
        <f>((1000+M166)/$R$22)-1000</f>
        <v>21.832070055507074</v>
      </c>
      <c r="P166" s="105">
        <f>((1000+N166)/$U$22)-1000</f>
        <v>11.391800535030939</v>
      </c>
      <c r="Q166" s="104">
        <f t="shared" ref="Q166" si="201">1000*(LN(P166/1000+1))</f>
        <v>11.327402586223322</v>
      </c>
      <c r="R166" s="106">
        <f t="shared" ref="R166" si="202">1000*(LN(O166/1000+1))</f>
        <v>21.597163266140768</v>
      </c>
      <c r="S166" s="104">
        <f t="shared" ref="S166" si="203">Q166-0.528*R166</f>
        <v>-7.5899618299004601E-2</v>
      </c>
      <c r="T166" s="100"/>
      <c r="U166" s="152">
        <f t="shared" ref="U166" si="204">(O166-30.91)/1.03091</f>
        <v>-8.8057443855360074</v>
      </c>
      <c r="V166" s="100" t="s">
        <v>227</v>
      </c>
    </row>
    <row r="167" spans="1:22" ht="15" hidden="1" customHeight="1" x14ac:dyDescent="0.2">
      <c r="A167" s="62">
        <f t="shared" si="167"/>
        <v>45239.072916666664</v>
      </c>
      <c r="B167" s="47" t="s">
        <v>231</v>
      </c>
      <c r="C167" s="62">
        <v>45239</v>
      </c>
      <c r="D167" s="47" t="s">
        <v>41</v>
      </c>
      <c r="E167" s="48" t="s">
        <v>161</v>
      </c>
      <c r="F167" s="47">
        <v>280</v>
      </c>
      <c r="G167" s="67">
        <v>7.2916666666666671E-2</v>
      </c>
      <c r="H167" s="49">
        <v>10.75</v>
      </c>
      <c r="I167" s="49"/>
      <c r="J167" s="49"/>
      <c r="K167" s="49"/>
      <c r="L167" s="49"/>
      <c r="M167" s="63"/>
      <c r="N167" s="63"/>
      <c r="O167" s="47"/>
      <c r="P167" s="47"/>
      <c r="Q167" s="47"/>
      <c r="R167" s="51"/>
      <c r="S167" s="47"/>
      <c r="T167" s="47"/>
      <c r="U167" s="51"/>
      <c r="V167" s="47" t="s">
        <v>229</v>
      </c>
    </row>
    <row r="168" spans="1:22" s="101" customFormat="1" ht="15" hidden="1" customHeight="1" x14ac:dyDescent="0.2">
      <c r="A168" s="129">
        <f t="shared" si="167"/>
        <v>45239.135416666664</v>
      </c>
      <c r="B168" s="100" t="s">
        <v>232</v>
      </c>
      <c r="C168" s="129">
        <v>45239</v>
      </c>
      <c r="D168" s="100" t="s">
        <v>41</v>
      </c>
      <c r="E168" s="107">
        <v>1.3280000000000001</v>
      </c>
      <c r="F168" s="100">
        <v>491</v>
      </c>
      <c r="G168" s="108">
        <v>0.13541666666666666</v>
      </c>
      <c r="H168" s="103">
        <v>12.25</v>
      </c>
      <c r="I168" s="103"/>
      <c r="J168" s="103">
        <v>458.81</v>
      </c>
      <c r="K168" s="103">
        <v>456.59</v>
      </c>
      <c r="L168" s="103">
        <f>J168-K168</f>
        <v>2.2200000000000273</v>
      </c>
      <c r="M168" s="104">
        <v>32.130600000000001</v>
      </c>
      <c r="N168" s="104">
        <v>16.740300000000001</v>
      </c>
      <c r="O168" s="105">
        <f>((1000+M168)/$R$22)-1000</f>
        <v>22.073593511412128</v>
      </c>
      <c r="P168" s="105">
        <f>((1000+N168)/$U$22)-1000</f>
        <v>11.587404155401941</v>
      </c>
      <c r="Q168" s="104">
        <f>1000*(LN(P168/1000+1))</f>
        <v>11.520784327891491</v>
      </c>
      <c r="R168" s="106">
        <f t="shared" ref="R168" si="205">1000*(LN(O168/1000+1))</f>
        <v>21.833498495632412</v>
      </c>
      <c r="S168" s="104">
        <f>Q168-0.528*R168</f>
        <v>-7.3028778024237795E-3</v>
      </c>
      <c r="T168" s="100"/>
      <c r="U168" s="152">
        <f t="shared" ref="U168" si="206">(O168-30.91)/1.03091</f>
        <v>-8.5714625802328737</v>
      </c>
      <c r="V168" s="100"/>
    </row>
    <row r="169" spans="1:22" ht="15" hidden="1" customHeight="1" x14ac:dyDescent="0.2">
      <c r="A169" s="62">
        <f t="shared" si="167"/>
        <v>45239.1875</v>
      </c>
      <c r="B169" s="47" t="s">
        <v>233</v>
      </c>
      <c r="C169" s="62">
        <v>45239</v>
      </c>
      <c r="D169" s="47" t="s">
        <v>41</v>
      </c>
      <c r="E169" s="48" t="s">
        <v>161</v>
      </c>
      <c r="F169" s="47" t="s">
        <v>234</v>
      </c>
      <c r="G169" s="67">
        <v>0.1875</v>
      </c>
      <c r="H169" s="49">
        <v>13.5</v>
      </c>
      <c r="I169" s="49"/>
      <c r="J169" s="49"/>
      <c r="K169" s="49"/>
      <c r="L169" s="49"/>
      <c r="M169" s="63"/>
      <c r="N169" s="63"/>
      <c r="O169" s="47"/>
      <c r="P169" s="47"/>
      <c r="Q169" s="47"/>
      <c r="R169" s="51"/>
      <c r="S169" s="47"/>
      <c r="T169" s="47"/>
      <c r="U169" s="51"/>
      <c r="V169" s="47" t="s">
        <v>229</v>
      </c>
    </row>
    <row r="170" spans="1:22" ht="15" hidden="1" customHeight="1" x14ac:dyDescent="0.2">
      <c r="A170" s="62">
        <f t="shared" si="167"/>
        <v>45239.197916666664</v>
      </c>
      <c r="B170" s="47" t="s">
        <v>235</v>
      </c>
      <c r="C170" s="62">
        <v>45239</v>
      </c>
      <c r="D170" s="47" t="s">
        <v>41</v>
      </c>
      <c r="E170" s="48" t="s">
        <v>161</v>
      </c>
      <c r="F170" s="47">
        <v>411</v>
      </c>
      <c r="G170" s="67">
        <v>0.19791666666666666</v>
      </c>
      <c r="H170" s="49">
        <v>13.75</v>
      </c>
      <c r="I170" s="49"/>
      <c r="J170" s="49"/>
      <c r="K170" s="49"/>
      <c r="L170" s="49"/>
      <c r="M170" s="63"/>
      <c r="N170" s="63"/>
      <c r="O170" s="47"/>
      <c r="P170" s="47"/>
      <c r="Q170" s="47"/>
      <c r="R170" s="51"/>
      <c r="S170" s="47"/>
      <c r="T170" s="47"/>
      <c r="U170" s="51"/>
      <c r="V170" s="47" t="s">
        <v>229</v>
      </c>
    </row>
    <row r="171" spans="1:22" s="101" customFormat="1" ht="15" hidden="1" customHeight="1" x14ac:dyDescent="0.2">
      <c r="A171" s="129">
        <f t="shared" si="167"/>
        <v>45239.208333333336</v>
      </c>
      <c r="B171" s="100" t="s">
        <v>236</v>
      </c>
      <c r="C171" s="129">
        <v>45239</v>
      </c>
      <c r="D171" s="100" t="s">
        <v>41</v>
      </c>
      <c r="E171" s="107">
        <v>1.095</v>
      </c>
      <c r="F171" s="100">
        <v>590</v>
      </c>
      <c r="G171" s="108">
        <v>0.20833333333333334</v>
      </c>
      <c r="H171" s="103">
        <v>8.5</v>
      </c>
      <c r="I171" s="103"/>
      <c r="J171" s="103">
        <v>463.53</v>
      </c>
      <c r="K171" s="103">
        <v>456.65</v>
      </c>
      <c r="L171" s="103">
        <f>J171-K171</f>
        <v>6.8799999999999955</v>
      </c>
      <c r="M171" s="104">
        <v>30.400700000000001</v>
      </c>
      <c r="N171" s="104">
        <v>15.798400000000001</v>
      </c>
      <c r="O171" s="105">
        <f>((1000+M171)/$R$22)-1000</f>
        <v>20.360549532854179</v>
      </c>
      <c r="P171" s="105">
        <f>((1000+N171)/$U$22)-1000</f>
        <v>10.650277756483774</v>
      </c>
      <c r="Q171" s="104">
        <f>1000*(LN(P171/1000+1))</f>
        <v>10.593963040381261</v>
      </c>
      <c r="R171" s="106">
        <f t="shared" ref="R171" si="207">1000*(LN(O171/1000+1))</f>
        <v>20.156044771036939</v>
      </c>
      <c r="S171" s="104">
        <f>Q171-0.528*R171</f>
        <v>-4.8428598726243166E-2</v>
      </c>
      <c r="T171" s="100"/>
      <c r="U171" s="152">
        <f t="shared" ref="U171" si="208">(O171-30.91)/1.03091</f>
        <v>-10.233143986522412</v>
      </c>
      <c r="V171" s="100"/>
    </row>
    <row r="172" spans="1:22" ht="15" hidden="1" customHeight="1" x14ac:dyDescent="0.2">
      <c r="A172" s="62">
        <f t="shared" si="167"/>
        <v>45239.260416666664</v>
      </c>
      <c r="B172" s="47" t="s">
        <v>237</v>
      </c>
      <c r="C172" s="62">
        <v>45239</v>
      </c>
      <c r="D172" s="47" t="s">
        <v>238</v>
      </c>
      <c r="E172" s="48">
        <v>1.121</v>
      </c>
      <c r="F172" s="47" t="s">
        <v>239</v>
      </c>
      <c r="G172" s="67">
        <v>0.26041666666666669</v>
      </c>
      <c r="H172" s="49">
        <v>15.25</v>
      </c>
      <c r="I172" s="49"/>
      <c r="J172" s="49"/>
      <c r="K172" s="49"/>
      <c r="L172" s="49"/>
      <c r="M172" s="63"/>
      <c r="N172" s="63"/>
      <c r="O172" s="50"/>
      <c r="P172" s="50"/>
      <c r="Q172" s="63"/>
      <c r="R172" s="93"/>
      <c r="S172" s="63"/>
      <c r="T172" s="47"/>
      <c r="U172" s="150"/>
      <c r="V172" s="47"/>
    </row>
    <row r="173" spans="1:22" ht="15" hidden="1" customHeight="1" x14ac:dyDescent="0.2">
      <c r="A173" s="62">
        <f t="shared" si="167"/>
        <v>45239</v>
      </c>
      <c r="B173" s="47" t="s">
        <v>240</v>
      </c>
      <c r="C173" s="62">
        <v>45239</v>
      </c>
      <c r="D173" s="47" t="s">
        <v>44</v>
      </c>
      <c r="E173" s="48">
        <v>1.502</v>
      </c>
      <c r="F173" s="47">
        <v>367</v>
      </c>
      <c r="G173" s="47"/>
      <c r="H173" s="49"/>
      <c r="I173" s="49"/>
      <c r="J173" s="49"/>
      <c r="K173" s="49"/>
      <c r="L173" s="49"/>
      <c r="M173" s="50"/>
      <c r="N173" s="50"/>
      <c r="O173" s="50"/>
      <c r="P173" s="50"/>
      <c r="Q173" s="63"/>
      <c r="R173" s="93"/>
      <c r="S173" s="63"/>
      <c r="T173" s="47"/>
      <c r="U173" s="51"/>
      <c r="V173" s="47"/>
    </row>
    <row r="174" spans="1:22" s="101" customFormat="1" ht="15" hidden="1" customHeight="1" x14ac:dyDescent="0.2">
      <c r="A174" s="129">
        <f t="shared" si="167"/>
        <v>45239.291666666664</v>
      </c>
      <c r="B174" s="100" t="s">
        <v>241</v>
      </c>
      <c r="C174" s="129">
        <v>45239</v>
      </c>
      <c r="D174" s="100" t="s">
        <v>44</v>
      </c>
      <c r="E174" s="107">
        <v>1.58</v>
      </c>
      <c r="F174" s="100">
        <v>498</v>
      </c>
      <c r="G174" s="108">
        <v>0.29166666666666669</v>
      </c>
      <c r="H174" s="103"/>
      <c r="I174" s="103"/>
      <c r="J174" s="103">
        <v>462.48</v>
      </c>
      <c r="K174" s="103">
        <v>456.54</v>
      </c>
      <c r="L174" s="103">
        <f>J174-K174</f>
        <v>5.9399999999999977</v>
      </c>
      <c r="M174" s="104">
        <v>30.7563</v>
      </c>
      <c r="N174" s="104">
        <v>15.9863</v>
      </c>
      <c r="O174" s="105">
        <f t="shared" ref="O174:O176" si="209">((1000+M174)/$R$22)-1000</f>
        <v>20.712684591976313</v>
      </c>
      <c r="P174" s="105">
        <f t="shared" ref="P174:P176" si="210">((1000+N174)/$U$22)-1000</f>
        <v>10.837225468933752</v>
      </c>
      <c r="Q174" s="104">
        <f t="shared" ref="Q174:Q176" si="211">1000*(LN(P174/1000+1))</f>
        <v>10.778923583233539</v>
      </c>
      <c r="R174" s="106">
        <f t="shared" ref="R174:R176" si="212">1000*(LN(O174/1000+1))</f>
        <v>20.501093696012664</v>
      </c>
      <c r="S174" s="104">
        <f t="shared" ref="S174:S176" si="213">Q174-0.528*R174</f>
        <v>-4.5653888261147912E-2</v>
      </c>
      <c r="T174" s="100"/>
      <c r="U174" s="152">
        <f t="shared" ref="U174" si="214">(O174-30.91)/1.03091</f>
        <v>-9.891567069893286</v>
      </c>
      <c r="V174" s="100"/>
    </row>
    <row r="175" spans="1:22" ht="15" hidden="1" customHeight="1" x14ac:dyDescent="0.2">
      <c r="A175" s="62">
        <f t="shared" si="167"/>
        <v>45239</v>
      </c>
      <c r="B175" s="47" t="s">
        <v>242</v>
      </c>
      <c r="C175" s="62">
        <v>45239</v>
      </c>
      <c r="D175" s="47" t="s">
        <v>44</v>
      </c>
      <c r="E175" s="48">
        <v>1.075</v>
      </c>
      <c r="F175" s="47">
        <v>337</v>
      </c>
      <c r="G175" s="47"/>
      <c r="H175" s="49"/>
      <c r="I175" s="49"/>
      <c r="J175" s="49"/>
      <c r="K175" s="49"/>
      <c r="L175" s="49"/>
      <c r="M175" s="50"/>
      <c r="N175" s="50"/>
      <c r="O175" s="50"/>
      <c r="P175" s="50"/>
      <c r="Q175" s="63"/>
      <c r="R175" s="93"/>
      <c r="S175" s="63"/>
      <c r="T175" s="47"/>
      <c r="U175" s="51"/>
      <c r="V175" s="47"/>
    </row>
    <row r="176" spans="1:22" s="102" customFormat="1" ht="15" hidden="1" customHeight="1" x14ac:dyDescent="0.2">
      <c r="A176" s="129">
        <f t="shared" si="167"/>
        <v>45239.375</v>
      </c>
      <c r="B176" s="103" t="s">
        <v>243</v>
      </c>
      <c r="C176" s="129">
        <v>45239</v>
      </c>
      <c r="D176" s="103" t="s">
        <v>44</v>
      </c>
      <c r="E176" s="103">
        <v>0.95699999999999996</v>
      </c>
      <c r="F176" s="100">
        <v>498</v>
      </c>
      <c r="G176" s="108">
        <v>0.375</v>
      </c>
      <c r="H176" s="103"/>
      <c r="I176" s="103"/>
      <c r="J176" s="103">
        <v>461.75</v>
      </c>
      <c r="K176" s="103">
        <v>456.62</v>
      </c>
      <c r="L176" s="103">
        <f>J176-K176</f>
        <v>5.1299999999999955</v>
      </c>
      <c r="M176" s="104">
        <v>32.447600000000001</v>
      </c>
      <c r="N176" s="104">
        <v>16.870899999999999</v>
      </c>
      <c r="O176" s="105">
        <f t="shared" si="209"/>
        <v>22.387504686163766</v>
      </c>
      <c r="P176" s="105">
        <f t="shared" si="210"/>
        <v>11.717342267408185</v>
      </c>
      <c r="Q176" s="104">
        <f t="shared" si="211"/>
        <v>11.649225792198328</v>
      </c>
      <c r="R176" s="106">
        <f t="shared" si="212"/>
        <v>22.140583015357681</v>
      </c>
      <c r="S176" s="104">
        <f t="shared" si="213"/>
        <v>-4.1002039910528865E-2</v>
      </c>
      <c r="T176" s="103"/>
      <c r="U176" s="103">
        <f t="shared" ref="U176:U177" si="215">(O176-30.91)/1.03091</f>
        <v>-8.2669634728892287</v>
      </c>
      <c r="V176" s="103"/>
    </row>
    <row r="177" spans="1:24" s="101" customFormat="1" ht="15" hidden="1" customHeight="1" x14ac:dyDescent="0.2">
      <c r="A177" s="129">
        <f t="shared" si="167"/>
        <v>45239.5</v>
      </c>
      <c r="B177" s="100" t="s">
        <v>244</v>
      </c>
      <c r="C177" s="129">
        <v>45239</v>
      </c>
      <c r="D177" s="100" t="s">
        <v>44</v>
      </c>
      <c r="E177" s="107">
        <v>1.0980000000000001</v>
      </c>
      <c r="F177" s="100">
        <v>518</v>
      </c>
      <c r="G177" s="108">
        <v>0.5</v>
      </c>
      <c r="H177" s="103"/>
      <c r="I177" s="103"/>
      <c r="J177" s="103">
        <v>450.45</v>
      </c>
      <c r="K177" s="103">
        <v>456.38</v>
      </c>
      <c r="L177" s="103">
        <f>J177-K177</f>
        <v>-5.9300000000000068</v>
      </c>
      <c r="M177" s="104">
        <v>32.459400000000002</v>
      </c>
      <c r="N177" s="104">
        <v>16.8672</v>
      </c>
      <c r="O177" s="105">
        <f t="shared" ref="O177" si="216">((1000+M177)/$R$22)-1000</f>
        <v>22.399189707810706</v>
      </c>
      <c r="P177" s="105">
        <f t="shared" ref="P177" si="217">((1000+N177)/$U$22)-1000</f>
        <v>11.713661019211941</v>
      </c>
      <c r="Q177" s="104">
        <f t="shared" ref="Q177" si="218">1000*(LN(P177/1000+1))</f>
        <v>11.645587172259916</v>
      </c>
      <c r="R177" s="106">
        <f t="shared" ref="R177" si="219">1000*(LN(O177/1000+1))</f>
        <v>22.152012101510394</v>
      </c>
      <c r="S177" s="104">
        <f t="shared" ref="S177" si="220">Q177-0.528*R177</f>
        <v>-5.0675217337573741E-2</v>
      </c>
      <c r="T177" s="100"/>
      <c r="U177" s="152">
        <f t="shared" si="215"/>
        <v>-8.2556288058019565</v>
      </c>
      <c r="V177" s="100"/>
      <c r="W177" s="100"/>
      <c r="X177" s="100"/>
    </row>
    <row r="178" spans="1:24" ht="15" hidden="1" customHeight="1" x14ac:dyDescent="0.2">
      <c r="A178" s="62">
        <f t="shared" si="167"/>
        <v>45239</v>
      </c>
      <c r="B178" s="47" t="s">
        <v>245</v>
      </c>
      <c r="C178" s="62">
        <v>45239</v>
      </c>
      <c r="D178" s="47" t="s">
        <v>44</v>
      </c>
      <c r="E178" s="48"/>
      <c r="F178" s="47"/>
      <c r="G178" s="67"/>
      <c r="H178" s="49"/>
      <c r="I178" s="49"/>
      <c r="J178" s="49"/>
      <c r="K178" s="49"/>
      <c r="L178" s="49"/>
      <c r="M178" s="63"/>
      <c r="N178" s="63"/>
      <c r="O178" s="50"/>
      <c r="P178" s="50"/>
      <c r="Q178" s="63"/>
      <c r="R178" s="93"/>
      <c r="S178" s="63"/>
      <c r="T178" s="47"/>
      <c r="U178" s="150"/>
      <c r="V178" s="47"/>
      <c r="W178" s="47"/>
      <c r="X178" s="47"/>
    </row>
    <row r="179" spans="1:24" ht="15" hidden="1" customHeight="1" x14ac:dyDescent="0.2">
      <c r="A179" s="62">
        <f t="shared" si="167"/>
        <v>45239</v>
      </c>
      <c r="B179" s="47" t="s">
        <v>246</v>
      </c>
      <c r="C179" s="62">
        <v>45239</v>
      </c>
      <c r="D179" s="47" t="s">
        <v>44</v>
      </c>
      <c r="E179" s="48">
        <v>0.88900000000000001</v>
      </c>
      <c r="F179" s="47">
        <v>447</v>
      </c>
      <c r="G179" s="47"/>
      <c r="H179" s="49"/>
      <c r="I179" s="49"/>
      <c r="J179" s="49"/>
      <c r="K179" s="49"/>
      <c r="L179" s="49"/>
      <c r="M179" s="50"/>
      <c r="N179" s="50"/>
      <c r="O179" s="47"/>
      <c r="P179" s="47"/>
      <c r="Q179" s="47"/>
      <c r="R179" s="51"/>
      <c r="S179" s="47"/>
      <c r="T179" s="47"/>
      <c r="U179" s="51"/>
      <c r="V179" s="47"/>
      <c r="W179" s="47"/>
      <c r="X179" s="47"/>
    </row>
    <row r="180" spans="1:24" s="95" customFormat="1" ht="15" hidden="1" customHeight="1" x14ac:dyDescent="0.2">
      <c r="A180" s="116">
        <f t="shared" si="167"/>
        <v>45239.166666666664</v>
      </c>
      <c r="B180" s="94" t="s">
        <v>122</v>
      </c>
      <c r="C180" s="116">
        <v>45239</v>
      </c>
      <c r="D180" s="94" t="s">
        <v>53</v>
      </c>
      <c r="E180" s="117"/>
      <c r="F180" s="94">
        <v>437</v>
      </c>
      <c r="G180" s="127">
        <v>0.16666666666666666</v>
      </c>
      <c r="H180" s="96"/>
      <c r="I180" s="96"/>
      <c r="J180" s="96"/>
      <c r="K180" s="96"/>
      <c r="L180" s="96"/>
      <c r="M180" s="98"/>
      <c r="N180" s="98"/>
      <c r="O180" s="94"/>
      <c r="P180" s="94"/>
      <c r="Q180" s="94"/>
      <c r="R180" s="126"/>
      <c r="S180" s="94"/>
      <c r="T180" s="94"/>
      <c r="U180" s="126"/>
      <c r="V180" s="94"/>
      <c r="W180" s="94"/>
      <c r="X180" s="94"/>
    </row>
    <row r="181" spans="1:24" s="95" customFormat="1" ht="15" hidden="1" customHeight="1" x14ac:dyDescent="0.2">
      <c r="A181" s="116">
        <f t="shared" si="167"/>
        <v>45239.177083333336</v>
      </c>
      <c r="B181" s="94" t="s">
        <v>122</v>
      </c>
      <c r="C181" s="116">
        <v>45239</v>
      </c>
      <c r="D181" s="94" t="s">
        <v>53</v>
      </c>
      <c r="E181" s="117"/>
      <c r="F181" s="94">
        <v>678</v>
      </c>
      <c r="G181" s="127">
        <v>0.17708333333333334</v>
      </c>
      <c r="H181" s="96"/>
      <c r="I181" s="96"/>
      <c r="J181" s="96"/>
      <c r="K181" s="96"/>
      <c r="L181" s="96"/>
      <c r="M181" s="98"/>
      <c r="N181" s="98"/>
      <c r="O181" s="94"/>
      <c r="P181" s="94"/>
      <c r="Q181" s="94"/>
      <c r="R181" s="126"/>
      <c r="S181" s="94"/>
      <c r="T181" s="94"/>
      <c r="U181" s="126"/>
      <c r="V181" s="94"/>
      <c r="W181" s="94"/>
      <c r="X181" s="94"/>
    </row>
    <row r="182" spans="1:24" s="95" customFormat="1" ht="15" hidden="1" customHeight="1" x14ac:dyDescent="0.2">
      <c r="A182" s="116">
        <f t="shared" ref="A182:A247" si="221">C182+G182</f>
        <v>45239.1875</v>
      </c>
      <c r="B182" s="94" t="s">
        <v>122</v>
      </c>
      <c r="C182" s="116">
        <v>45239</v>
      </c>
      <c r="D182" s="94" t="s">
        <v>53</v>
      </c>
      <c r="E182" s="117"/>
      <c r="F182" s="94">
        <v>625</v>
      </c>
      <c r="G182" s="127">
        <v>0.1875</v>
      </c>
      <c r="H182" s="96"/>
      <c r="I182" s="96"/>
      <c r="J182" s="96">
        <v>463.4</v>
      </c>
      <c r="K182" s="96">
        <v>456.69</v>
      </c>
      <c r="L182" s="96">
        <f>J182-K182</f>
        <v>6.7099999999999795</v>
      </c>
      <c r="M182" s="97">
        <v>30.0121</v>
      </c>
      <c r="N182" s="97">
        <v>15.6196</v>
      </c>
      <c r="O182" s="98">
        <f t="shared" ref="O182" si="222">((1000+M182)/$R$22)-1000</f>
        <v>19.975736023363652</v>
      </c>
      <c r="P182" s="98">
        <f t="shared" ref="P182" si="223">((1000+N182)/$U$22)-1000</f>
        <v>10.472383924732412</v>
      </c>
      <c r="Q182" s="97">
        <f t="shared" ref="Q182" si="224">1000*(LN(P182/1000+1))</f>
        <v>10.417928368578828</v>
      </c>
      <c r="R182" s="99">
        <f t="shared" ref="R182" si="225">1000*(LN(O182/1000+1))</f>
        <v>19.77883880084714</v>
      </c>
      <c r="S182" s="97">
        <f t="shared" ref="S182" si="226">Q182-0.528*R182</f>
        <v>-2.5298518268462189E-2</v>
      </c>
      <c r="T182" s="94"/>
      <c r="U182" s="151">
        <f t="shared" ref="U182" si="227">(O182-30.91)/1.03091</f>
        <v>-10.606419548395445</v>
      </c>
      <c r="V182" s="94" t="s">
        <v>247</v>
      </c>
      <c r="W182" s="94"/>
      <c r="X182" s="94"/>
    </row>
    <row r="183" spans="1:24" ht="15" hidden="1" customHeight="1" x14ac:dyDescent="0.2">
      <c r="A183" s="62">
        <f t="shared" si="221"/>
        <v>45239.888888888891</v>
      </c>
      <c r="B183" s="47" t="s">
        <v>248</v>
      </c>
      <c r="C183" s="62">
        <v>45239</v>
      </c>
      <c r="D183" s="47" t="s">
        <v>53</v>
      </c>
      <c r="E183" s="48"/>
      <c r="F183" s="47"/>
      <c r="G183" s="67">
        <v>0.88888888888888884</v>
      </c>
      <c r="H183" s="49"/>
      <c r="I183" s="49"/>
      <c r="J183" s="49"/>
      <c r="K183" s="49"/>
      <c r="L183" s="49"/>
      <c r="M183" s="50"/>
      <c r="N183" s="50"/>
      <c r="O183" s="47"/>
      <c r="P183" s="47"/>
      <c r="Q183" s="47"/>
      <c r="R183" s="51"/>
      <c r="S183" s="47"/>
      <c r="T183" s="47"/>
      <c r="U183" s="51"/>
      <c r="V183" s="47"/>
      <c r="W183" s="47"/>
      <c r="X183" s="47"/>
    </row>
    <row r="184" spans="1:24" s="125" customFormat="1" ht="15" hidden="1" customHeight="1" x14ac:dyDescent="0.2">
      <c r="A184" s="154">
        <f t="shared" si="221"/>
        <v>45239.927083333336</v>
      </c>
      <c r="B184" s="119" t="s">
        <v>249</v>
      </c>
      <c r="C184" s="154">
        <v>45239</v>
      </c>
      <c r="D184" s="119" t="s">
        <v>41</v>
      </c>
      <c r="E184" s="120">
        <v>1.2969999999999999</v>
      </c>
      <c r="F184" s="119">
        <v>593</v>
      </c>
      <c r="G184" s="130">
        <v>0.92708333333333337</v>
      </c>
      <c r="H184" s="121">
        <v>9.5</v>
      </c>
      <c r="I184" s="121"/>
      <c r="J184" s="121">
        <v>460.46</v>
      </c>
      <c r="K184" s="121">
        <v>456.52</v>
      </c>
      <c r="L184" s="121">
        <f>J184-K184</f>
        <v>3.9399999999999977</v>
      </c>
      <c r="M184" s="122">
        <v>34.216099999999997</v>
      </c>
      <c r="N184" s="122">
        <v>17.792100000000001</v>
      </c>
      <c r="O184" s="123">
        <f>((1000+M184)/$R$22)-1000</f>
        <v>24.138772549092209</v>
      </c>
      <c r="P184" s="123">
        <f>((1000+N184)/$U$22)-1000</f>
        <v>12.633873575066559</v>
      </c>
      <c r="Q184" s="122">
        <f t="shared" ref="Q184" si="228">1000*(LN(P184/1000+1))</f>
        <v>12.554732073036257</v>
      </c>
      <c r="R184" s="124">
        <f t="shared" ref="R184" si="229">1000*(LN(O184/1000+1))</f>
        <v>23.852037502774152</v>
      </c>
      <c r="S184" s="122">
        <f t="shared" ref="S184" si="230">Q184-0.528*R184</f>
        <v>-3.914372842849545E-2</v>
      </c>
      <c r="T184" s="119"/>
      <c r="U184" s="155">
        <f t="shared" ref="U184" si="231">(O184-30.91)/1.03091</f>
        <v>-6.5682042573142088</v>
      </c>
      <c r="V184" s="119" t="s">
        <v>250</v>
      </c>
      <c r="W184" s="119"/>
      <c r="X184" s="119"/>
    </row>
    <row r="185" spans="1:24" s="125" customFormat="1" ht="15" hidden="1" customHeight="1" x14ac:dyDescent="0.2">
      <c r="A185" s="154">
        <f t="shared" si="221"/>
        <v>45239.979166666664</v>
      </c>
      <c r="B185" s="119" t="s">
        <v>251</v>
      </c>
      <c r="C185" s="154">
        <v>45239</v>
      </c>
      <c r="D185" s="119" t="s">
        <v>41</v>
      </c>
      <c r="E185" s="120">
        <v>1.21</v>
      </c>
      <c r="F185" s="119">
        <v>507</v>
      </c>
      <c r="G185" s="130">
        <v>0.97916666666666663</v>
      </c>
      <c r="H185" s="121">
        <v>10.75</v>
      </c>
      <c r="I185" s="121"/>
      <c r="J185" s="121">
        <v>461.4</v>
      </c>
      <c r="K185" s="121">
        <v>456.6</v>
      </c>
      <c r="L185" s="121">
        <f>J185-K185</f>
        <v>4.7999999999999545</v>
      </c>
      <c r="M185" s="122">
        <v>34.186399999999999</v>
      </c>
      <c r="N185" s="122">
        <v>17.810600000000001</v>
      </c>
      <c r="O185" s="123">
        <f>((1000+M185)/$R$22)-1000</f>
        <v>24.109361943760632</v>
      </c>
      <c r="P185" s="123">
        <f>((1000+N185)/$U$22)-1000</f>
        <v>12.652279816047553</v>
      </c>
      <c r="Q185" s="122">
        <f t="shared" ref="Q185" si="232">1000*(LN(P185/1000+1))</f>
        <v>12.572908507956939</v>
      </c>
      <c r="R185" s="124">
        <f t="shared" ref="R185" si="233">1000*(LN(O185/1000+1))</f>
        <v>23.823319687936866</v>
      </c>
      <c r="S185" s="122">
        <f t="shared" ref="S185" si="234">Q185-0.528*R185</f>
        <v>-5.8042872737278373E-3</v>
      </c>
      <c r="T185" s="119"/>
      <c r="U185" s="155">
        <f t="shared" ref="U185" si="235">(O185-30.91)/1.03091</f>
        <v>-6.5967330380337454</v>
      </c>
      <c r="V185" s="119"/>
      <c r="W185" s="119"/>
      <c r="X185" s="119"/>
    </row>
    <row r="186" spans="1:24" s="125" customFormat="1" ht="15" hidden="1" customHeight="1" x14ac:dyDescent="0.2">
      <c r="A186" s="154">
        <f t="shared" si="221"/>
        <v>45240.03125</v>
      </c>
      <c r="B186" s="119" t="s">
        <v>252</v>
      </c>
      <c r="C186" s="154">
        <v>45240</v>
      </c>
      <c r="D186" s="119" t="s">
        <v>41</v>
      </c>
      <c r="E186" s="120">
        <v>1.278</v>
      </c>
      <c r="F186" s="119">
        <v>495</v>
      </c>
      <c r="G186" s="130">
        <v>3.125E-2</v>
      </c>
      <c r="H186" s="121">
        <v>12</v>
      </c>
      <c r="I186" s="121"/>
      <c r="J186" s="121">
        <v>459.08</v>
      </c>
      <c r="K186" s="121">
        <v>456.68</v>
      </c>
      <c r="L186" s="121">
        <f>J186-K186</f>
        <v>2.3999999999999773</v>
      </c>
      <c r="M186" s="122">
        <v>34.241100000000003</v>
      </c>
      <c r="N186" s="122">
        <v>17.8353</v>
      </c>
      <c r="O186" s="123">
        <f>((1000+M186)/$R$22)-1000</f>
        <v>24.16352895088653</v>
      </c>
      <c r="P186" s="123">
        <f>((1000+N186)/$U$22)-1000</f>
        <v>12.676854635086897</v>
      </c>
      <c r="Q186" s="122">
        <f t="shared" ref="Q186" si="236">1000*(LN(P186/1000+1))</f>
        <v>12.5971759898417</v>
      </c>
      <c r="R186" s="124">
        <f t="shared" ref="R186" si="237">1000*(LN(O186/1000+1))</f>
        <v>23.876210108328916</v>
      </c>
      <c r="S186" s="122">
        <f t="shared" ref="S186" si="238">Q186-0.528*R186</f>
        <v>-9.4629473559688648E-3</v>
      </c>
      <c r="T186" s="119"/>
      <c r="U186" s="155">
        <f t="shared" ref="U186" si="239">(O186-30.91)/1.03091</f>
        <v>-6.5441901321293523</v>
      </c>
      <c r="V186" s="119" t="s">
        <v>253</v>
      </c>
      <c r="W186" s="120">
        <f>AVERAGE(S184:S186)</f>
        <v>-1.813698768606405E-2</v>
      </c>
      <c r="X186" s="120">
        <f>STDEV(S184:S186)/SQRT(COUNT(S184:S186))</f>
        <v>1.0556337999264417E-2</v>
      </c>
    </row>
    <row r="187" spans="1:24" s="125" customFormat="1" ht="15" hidden="1" customHeight="1" x14ac:dyDescent="0.2">
      <c r="A187" s="154">
        <f t="shared" si="221"/>
        <v>45240.083333333336</v>
      </c>
      <c r="B187" s="119" t="s">
        <v>254</v>
      </c>
      <c r="C187" s="154">
        <v>45240</v>
      </c>
      <c r="D187" s="119" t="s">
        <v>41</v>
      </c>
      <c r="E187" s="120">
        <v>1.1950000000000001</v>
      </c>
      <c r="F187" s="119">
        <v>560</v>
      </c>
      <c r="G187" s="130">
        <v>8.3333333333333329E-2</v>
      </c>
      <c r="H187" s="121">
        <v>13.15</v>
      </c>
      <c r="I187" s="121"/>
      <c r="J187" s="121">
        <v>460.32</v>
      </c>
      <c r="K187" s="121">
        <v>456.63</v>
      </c>
      <c r="L187" s="121">
        <f>J187-K187</f>
        <v>3.6899999999999977</v>
      </c>
      <c r="M187" s="122">
        <v>35.620899999999999</v>
      </c>
      <c r="N187" s="122">
        <v>18.537700000000001</v>
      </c>
      <c r="O187" s="123">
        <f>((1000+M187)/$R$22)-1000</f>
        <v>25.529884278716963</v>
      </c>
      <c r="P187" s="123">
        <f>((1000+N187)/$U$22)-1000</f>
        <v>13.375694833197258</v>
      </c>
      <c r="Q187" s="122">
        <f t="shared" ref="Q187" si="240">1000*(LN(P187/1000+1))</f>
        <v>13.287029987961011</v>
      </c>
      <c r="R187" s="124">
        <f t="shared" ref="R187" si="241">1000*(LN(O187/1000+1))</f>
        <v>25.209439284363544</v>
      </c>
      <c r="S187" s="122">
        <f t="shared" ref="S187" si="242">Q187-0.528*R187</f>
        <v>-2.3553954182940373E-2</v>
      </c>
      <c r="T187" s="119"/>
      <c r="U187" s="155">
        <f t="shared" ref="U187" si="243">(O187-30.91)/1.03091</f>
        <v>-5.2188025349284004</v>
      </c>
      <c r="V187" s="119"/>
      <c r="W187" s="119"/>
      <c r="X187" s="119"/>
    </row>
    <row r="188" spans="1:24" s="125" customFormat="1" ht="15" hidden="1" customHeight="1" x14ac:dyDescent="0.2">
      <c r="A188" s="154">
        <f t="shared" si="221"/>
        <v>45240.1875</v>
      </c>
      <c r="B188" s="119" t="s">
        <v>255</v>
      </c>
      <c r="C188" s="154">
        <v>45240</v>
      </c>
      <c r="D188" s="119" t="s">
        <v>41</v>
      </c>
      <c r="E188" s="120">
        <v>1.232</v>
      </c>
      <c r="F188" s="119">
        <v>592</v>
      </c>
      <c r="G188" s="130">
        <v>0.1875</v>
      </c>
      <c r="H188" s="121">
        <v>15.75</v>
      </c>
      <c r="I188" s="121"/>
      <c r="J188" s="121">
        <v>461.18</v>
      </c>
      <c r="K188" s="121">
        <v>456.49</v>
      </c>
      <c r="L188" s="121">
        <f>J188-K188</f>
        <v>4.6899999999999977</v>
      </c>
      <c r="M188" s="122">
        <v>35.813000000000002</v>
      </c>
      <c r="N188" s="122">
        <v>18.635100000000001</v>
      </c>
      <c r="O188" s="123">
        <f>((1000+M188)/$R$22)-1000</f>
        <v>25.720112470104596</v>
      </c>
      <c r="P188" s="123">
        <f>((1000+N188)/$U$22)-1000</f>
        <v>13.472601204632269</v>
      </c>
      <c r="Q188" s="122">
        <f t="shared" ref="Q188" si="244">1000*(LN(P188/1000+1))</f>
        <v>13.382652705949493</v>
      </c>
      <c r="R188" s="124">
        <f t="shared" ref="R188" si="245">1000*(LN(O188/1000+1))</f>
        <v>25.394914669844905</v>
      </c>
      <c r="S188" s="122">
        <f t="shared" ref="S188" si="246">Q188-0.528*R188</f>
        <v>-2.5862239728617453E-2</v>
      </c>
      <c r="T188" s="119"/>
      <c r="U188" s="155">
        <f t="shared" ref="U188:U192" si="247">(O188-30.91)/1.03091</f>
        <v>-5.0342779970078908</v>
      </c>
      <c r="V188" s="119"/>
      <c r="W188" s="119"/>
      <c r="X188" s="119"/>
    </row>
    <row r="189" spans="1:24" ht="15" hidden="1" customHeight="1" x14ac:dyDescent="0.2">
      <c r="A189" s="62">
        <f t="shared" si="221"/>
        <v>45240.239583333336</v>
      </c>
      <c r="B189" s="47" t="s">
        <v>256</v>
      </c>
      <c r="C189" s="62">
        <v>45240</v>
      </c>
      <c r="D189" s="47" t="s">
        <v>41</v>
      </c>
      <c r="E189" s="48">
        <v>1.357</v>
      </c>
      <c r="F189" s="47">
        <v>359</v>
      </c>
      <c r="G189" s="67">
        <v>0.23958333333333334</v>
      </c>
      <c r="H189" s="49">
        <v>17</v>
      </c>
      <c r="I189" s="49"/>
      <c r="J189" s="49"/>
      <c r="K189" s="49"/>
      <c r="L189" s="49"/>
      <c r="M189" s="63"/>
      <c r="N189" s="63"/>
      <c r="O189" s="50"/>
      <c r="P189" s="50"/>
      <c r="Q189" s="63"/>
      <c r="R189" s="93"/>
      <c r="S189" s="63"/>
      <c r="T189" s="47"/>
      <c r="U189" s="150"/>
      <c r="V189" s="47" t="s">
        <v>257</v>
      </c>
      <c r="W189" s="47"/>
      <c r="X189" s="47"/>
    </row>
    <row r="190" spans="1:24" s="101" customFormat="1" ht="15" hidden="1" customHeight="1" x14ac:dyDescent="0.2">
      <c r="A190" s="129">
        <f t="shared" si="221"/>
        <v>45240.263888888891</v>
      </c>
      <c r="B190" s="100" t="s">
        <v>258</v>
      </c>
      <c r="C190" s="129">
        <v>45240</v>
      </c>
      <c r="D190" s="100" t="s">
        <v>44</v>
      </c>
      <c r="E190" s="107">
        <v>1.4</v>
      </c>
      <c r="F190" s="100">
        <v>484</v>
      </c>
      <c r="G190" s="108">
        <v>0.2638888888888889</v>
      </c>
      <c r="H190" s="103">
        <v>17.350000000000001</v>
      </c>
      <c r="I190" s="103"/>
      <c r="J190" s="103">
        <v>459.24</v>
      </c>
      <c r="K190" s="103">
        <v>456.66</v>
      </c>
      <c r="L190" s="103">
        <f t="shared" ref="L190:L192" si="248">J190-K190</f>
        <v>2.5799999999999841</v>
      </c>
      <c r="M190" s="104">
        <v>31.714600000000001</v>
      </c>
      <c r="N190" s="104">
        <v>16.4695</v>
      </c>
      <c r="O190" s="105">
        <f t="shared" ref="O190" si="249">((1000+M190)/$R$22)-1000</f>
        <v>21.661646985555194</v>
      </c>
      <c r="P190" s="105">
        <f t="shared" ref="P190" si="250">((1000+N190)/$U$22)-1000</f>
        <v>11.317976584718167</v>
      </c>
      <c r="Q190" s="104">
        <f t="shared" ref="Q190" si="251">1000*(LN(P190/1000+1))</f>
        <v>11.254407487093939</v>
      </c>
      <c r="R190" s="106">
        <f t="shared" ref="R190" si="252">1000*(LN(O190/1000+1))</f>
        <v>21.430367480153603</v>
      </c>
      <c r="S190" s="104">
        <f t="shared" ref="S190" si="253">Q190-0.528*R190</f>
        <v>-6.0826542427163233E-2</v>
      </c>
      <c r="T190" s="100"/>
      <c r="U190" s="152">
        <f t="shared" si="247"/>
        <v>-8.9710576233083454</v>
      </c>
      <c r="V190" s="100"/>
      <c r="W190" s="100"/>
      <c r="X190" s="100"/>
    </row>
    <row r="191" spans="1:24" ht="15" hidden="1" customHeight="1" x14ac:dyDescent="0.2">
      <c r="A191" s="62">
        <f t="shared" si="221"/>
        <v>45240.318749999999</v>
      </c>
      <c r="B191" s="47" t="s">
        <v>259</v>
      </c>
      <c r="C191" s="62">
        <v>45240</v>
      </c>
      <c r="D191" s="47" t="s">
        <v>44</v>
      </c>
      <c r="E191" s="48">
        <v>1.1659999999999999</v>
      </c>
      <c r="F191" s="47">
        <v>166</v>
      </c>
      <c r="G191" s="67">
        <v>0.31875000000000003</v>
      </c>
      <c r="H191" s="49">
        <v>18.54</v>
      </c>
      <c r="I191" s="49"/>
      <c r="J191" s="49"/>
      <c r="K191" s="49"/>
      <c r="L191" s="49"/>
      <c r="M191" s="63"/>
      <c r="N191" s="63"/>
      <c r="O191" s="50"/>
      <c r="P191" s="50"/>
      <c r="Q191" s="63"/>
      <c r="R191" s="93"/>
      <c r="S191" s="63"/>
      <c r="T191" s="47"/>
      <c r="U191" s="150"/>
      <c r="V191" s="47"/>
      <c r="W191" s="47"/>
      <c r="X191" s="47"/>
    </row>
    <row r="192" spans="1:24" s="125" customFormat="1" ht="15" hidden="1" customHeight="1" x14ac:dyDescent="0.2">
      <c r="A192" s="154">
        <f t="shared" si="221"/>
        <v>45240.32708333333</v>
      </c>
      <c r="B192" s="119" t="s">
        <v>260</v>
      </c>
      <c r="C192" s="154">
        <v>45240</v>
      </c>
      <c r="D192" s="119" t="s">
        <v>44</v>
      </c>
      <c r="E192" s="120">
        <v>1.0900000000000001</v>
      </c>
      <c r="F192" s="119">
        <v>569</v>
      </c>
      <c r="G192" s="130">
        <f>G191+"0:12"</f>
        <v>0.32708333333333339</v>
      </c>
      <c r="H192" s="121">
        <v>19.059999999999999</v>
      </c>
      <c r="I192" s="121"/>
      <c r="J192" s="121">
        <v>463.39</v>
      </c>
      <c r="K192" s="121">
        <v>456.18</v>
      </c>
      <c r="L192" s="121">
        <f t="shared" si="248"/>
        <v>7.2099999999999795</v>
      </c>
      <c r="M192" s="122">
        <v>35.987900000000003</v>
      </c>
      <c r="N192" s="122">
        <v>18.684899999999999</v>
      </c>
      <c r="O192" s="123">
        <f t="shared" ref="O192" si="254">((1000+M192)/$R$22)-1000</f>
        <v>25.89330825705747</v>
      </c>
      <c r="P192" s="123">
        <f t="shared" ref="P192" si="255">((1000+N192)/$U$22)-1000</f>
        <v>13.522148815489118</v>
      </c>
      <c r="Q192" s="122">
        <f t="shared" ref="Q192" si="256">1000*(LN(P192/1000+1))</f>
        <v>13.431540460460178</v>
      </c>
      <c r="R192" s="124">
        <f t="shared" ref="R192" si="257">1000*(LN(O192/1000+1))</f>
        <v>25.563753287894983</v>
      </c>
      <c r="S192" s="122">
        <f t="shared" ref="S192" si="258">Q192-0.528*R192</f>
        <v>-6.6121275548372438E-2</v>
      </c>
      <c r="T192" s="119"/>
      <c r="U192" s="155">
        <f t="shared" si="247"/>
        <v>-4.8662751772148205</v>
      </c>
      <c r="V192" s="119"/>
      <c r="W192" s="119"/>
      <c r="X192" s="119"/>
    </row>
    <row r="193" spans="1:22" ht="15" hidden="1" customHeight="1" x14ac:dyDescent="0.2">
      <c r="A193" s="62"/>
      <c r="B193" s="47" t="s">
        <v>261</v>
      </c>
      <c r="C193" s="62"/>
      <c r="D193" s="47"/>
      <c r="E193" s="48"/>
      <c r="F193" s="47"/>
      <c r="G193" s="67"/>
      <c r="H193" s="49"/>
      <c r="I193" s="49"/>
      <c r="J193" s="49"/>
      <c r="K193" s="49"/>
      <c r="L193" s="49"/>
      <c r="M193" s="63"/>
      <c r="N193" s="63"/>
      <c r="O193" s="50"/>
      <c r="P193" s="50"/>
      <c r="Q193" s="63"/>
      <c r="R193" s="93"/>
      <c r="S193" s="63"/>
      <c r="T193" s="47"/>
      <c r="U193" s="150"/>
      <c r="V193" s="47"/>
    </row>
    <row r="194" spans="1:22" ht="15" hidden="1" customHeight="1" x14ac:dyDescent="0.2">
      <c r="A194" s="62">
        <f t="shared" si="221"/>
        <v>45240</v>
      </c>
      <c r="B194" s="47" t="s">
        <v>262</v>
      </c>
      <c r="C194" s="62">
        <v>45240</v>
      </c>
      <c r="D194" s="47" t="s">
        <v>44</v>
      </c>
      <c r="E194" s="48">
        <v>1.232</v>
      </c>
      <c r="F194" s="47"/>
      <c r="G194" s="47"/>
      <c r="H194" s="49"/>
      <c r="I194" s="49"/>
      <c r="J194" s="49"/>
      <c r="K194" s="49"/>
      <c r="L194" s="49"/>
      <c r="M194" s="63"/>
      <c r="N194" s="63"/>
      <c r="O194" s="47"/>
      <c r="P194" s="47"/>
      <c r="Q194" s="47"/>
      <c r="R194" s="51"/>
      <c r="S194" s="47"/>
      <c r="T194" s="47"/>
      <c r="U194" s="51"/>
      <c r="V194" s="47"/>
    </row>
    <row r="195" spans="1:22" ht="15" hidden="1" customHeight="1" x14ac:dyDescent="0.2">
      <c r="A195" s="62">
        <f t="shared" si="221"/>
        <v>45240.673611111109</v>
      </c>
      <c r="B195" s="47" t="s">
        <v>263</v>
      </c>
      <c r="C195" s="62">
        <v>45240</v>
      </c>
      <c r="D195" s="47" t="s">
        <v>53</v>
      </c>
      <c r="E195" s="48">
        <v>1.0369999999999999</v>
      </c>
      <c r="F195" s="47">
        <v>269</v>
      </c>
      <c r="G195" s="67">
        <v>0.67361111111111116</v>
      </c>
      <c r="H195" s="49">
        <v>29.5</v>
      </c>
      <c r="I195" s="49"/>
      <c r="J195" s="49"/>
      <c r="K195" s="49"/>
      <c r="L195" s="49"/>
      <c r="M195" s="63"/>
      <c r="N195" s="63"/>
      <c r="O195" s="47"/>
      <c r="P195" s="47"/>
      <c r="Q195" s="47"/>
      <c r="R195" s="51"/>
      <c r="S195" s="47"/>
      <c r="T195" s="47"/>
      <c r="U195" s="51"/>
      <c r="V195" s="47"/>
    </row>
    <row r="196" spans="1:22" ht="15" hidden="1" customHeight="1" x14ac:dyDescent="0.2">
      <c r="A196" s="62">
        <f t="shared" si="221"/>
        <v>45240.684027777781</v>
      </c>
      <c r="B196" s="47" t="s">
        <v>264</v>
      </c>
      <c r="C196" s="62">
        <v>45240</v>
      </c>
      <c r="D196" s="47" t="s">
        <v>53</v>
      </c>
      <c r="E196" s="48">
        <v>1.2090000000000001</v>
      </c>
      <c r="F196" s="47">
        <v>255</v>
      </c>
      <c r="G196" s="67">
        <v>0.68402777777777779</v>
      </c>
      <c r="H196" s="49">
        <v>29.75</v>
      </c>
      <c r="I196" s="49"/>
      <c r="J196" s="49"/>
      <c r="K196" s="49"/>
      <c r="L196" s="49"/>
      <c r="M196" s="63"/>
      <c r="N196" s="63"/>
      <c r="O196" s="47"/>
      <c r="P196" s="47"/>
      <c r="Q196" s="47"/>
      <c r="R196" s="51"/>
      <c r="S196" s="47"/>
      <c r="T196" s="47"/>
      <c r="U196" s="51"/>
      <c r="V196" s="47"/>
    </row>
    <row r="197" spans="1:22" ht="15" hidden="1" customHeight="1" x14ac:dyDescent="0.2">
      <c r="A197" s="62">
        <f t="shared" si="221"/>
        <v>45240.694444444445</v>
      </c>
      <c r="B197" s="47" t="s">
        <v>265</v>
      </c>
      <c r="C197" s="62">
        <v>45240</v>
      </c>
      <c r="D197" s="47" t="s">
        <v>53</v>
      </c>
      <c r="E197" s="48"/>
      <c r="F197" s="47">
        <v>556</v>
      </c>
      <c r="G197" s="67">
        <v>0.69444444444444453</v>
      </c>
      <c r="H197" s="49"/>
      <c r="I197" s="49"/>
      <c r="J197" s="49"/>
      <c r="K197" s="49"/>
      <c r="L197" s="49"/>
      <c r="M197" s="63"/>
      <c r="N197" s="63"/>
      <c r="O197" s="47"/>
      <c r="P197" s="47"/>
      <c r="Q197" s="47"/>
      <c r="R197" s="51"/>
      <c r="S197" s="47"/>
      <c r="T197" s="47"/>
      <c r="U197" s="51"/>
      <c r="V197" s="47"/>
    </row>
    <row r="198" spans="1:22" s="101" customFormat="1" ht="15" hidden="1" customHeight="1" x14ac:dyDescent="0.2">
      <c r="A198" s="129">
        <f t="shared" si="221"/>
        <v>45240.708333333336</v>
      </c>
      <c r="B198" s="100" t="s">
        <v>266</v>
      </c>
      <c r="C198" s="129">
        <v>45240</v>
      </c>
      <c r="D198" s="100" t="s">
        <v>53</v>
      </c>
      <c r="E198" s="107">
        <v>1.1579999999999999</v>
      </c>
      <c r="F198" s="100">
        <v>527</v>
      </c>
      <c r="G198" s="108">
        <v>0.70833333333333337</v>
      </c>
      <c r="H198" s="103">
        <v>19.5</v>
      </c>
      <c r="I198" s="103"/>
      <c r="J198" s="103">
        <v>456.4</v>
      </c>
      <c r="K198" s="103">
        <v>456.76</v>
      </c>
      <c r="L198" s="103">
        <f t="shared" ref="L198:L216" si="259">J198-K198</f>
        <v>-0.36000000000001364</v>
      </c>
      <c r="M198" s="104">
        <v>31.2118</v>
      </c>
      <c r="N198" s="104">
        <v>16.2194</v>
      </c>
      <c r="O198" s="105">
        <f t="shared" ref="O198" si="260">((1000+M198)/$R$22)-1000</f>
        <v>21.163746232668359</v>
      </c>
      <c r="P198" s="105">
        <f t="shared" ref="P198" si="261">((1000+N198)/$U$22)-1000</f>
        <v>11.069144105294072</v>
      </c>
      <c r="Q198" s="104">
        <f t="shared" ref="Q198" si="262">1000*(LN(P198/1000+1))</f>
        <v>11.008329495265306</v>
      </c>
      <c r="R198" s="106">
        <f t="shared" ref="R198" si="263">1000*(LN(O198/1000+1))</f>
        <v>20.942904611913256</v>
      </c>
      <c r="S198" s="104">
        <f t="shared" ref="S198" si="264">Q198-0.528*R198</f>
        <v>-4.9524139824894675E-2</v>
      </c>
      <c r="T198" s="100"/>
      <c r="U198" s="152">
        <f t="shared" ref="U198" si="265">(O198-30.91)/1.03091</f>
        <v>-9.454029709025658</v>
      </c>
      <c r="V198" s="100"/>
    </row>
    <row r="199" spans="1:22" s="101" customFormat="1" ht="15" hidden="1" customHeight="1" x14ac:dyDescent="0.2">
      <c r="A199" s="129">
        <f t="shared" si="221"/>
        <v>45240.760416666664</v>
      </c>
      <c r="B199" s="100" t="s">
        <v>267</v>
      </c>
      <c r="C199" s="129">
        <v>45240</v>
      </c>
      <c r="D199" s="100" t="s">
        <v>53</v>
      </c>
      <c r="E199" s="107">
        <v>1.198</v>
      </c>
      <c r="F199" s="100">
        <v>619</v>
      </c>
      <c r="G199" s="108">
        <v>0.76041666666666663</v>
      </c>
      <c r="H199" s="103">
        <v>21.15</v>
      </c>
      <c r="I199" s="103"/>
      <c r="J199" s="103">
        <v>454.19</v>
      </c>
      <c r="K199" s="103">
        <v>456.76</v>
      </c>
      <c r="L199" s="103">
        <f t="shared" si="259"/>
        <v>-2.5699999999999932</v>
      </c>
      <c r="M199" s="104">
        <v>31.5352</v>
      </c>
      <c r="N199" s="104">
        <v>16.4038</v>
      </c>
      <c r="O199" s="105">
        <f t="shared" ref="O199:O203" si="266">((1000+M199)/$R$22)-1000</f>
        <v>21.483995046279347</v>
      </c>
      <c r="P199" s="105">
        <f t="shared" ref="P199:P203" si="267">((1000+N199)/$U$22)-1000</f>
        <v>11.252609555937056</v>
      </c>
      <c r="Q199" s="104">
        <f t="shared" ref="Q199:Q203" si="268">1000*(LN(P199/1000+1))</f>
        <v>11.18976991226535</v>
      </c>
      <c r="R199" s="106">
        <f t="shared" ref="R199:R201" si="269">1000*(LN(O199/1000+1))</f>
        <v>21.256467063003676</v>
      </c>
      <c r="S199" s="104">
        <f t="shared" ref="S199:S201" si="270">Q199-0.528*R199</f>
        <v>-3.364469700059125E-2</v>
      </c>
      <c r="T199" s="100"/>
      <c r="U199" s="152">
        <f t="shared" ref="U199:U203" si="271">(O199-30.91)/1.03091</f>
        <v>-9.1433829856346858</v>
      </c>
      <c r="V199" s="100" t="s">
        <v>268</v>
      </c>
    </row>
    <row r="200" spans="1:22" s="125" customFormat="1" ht="15" hidden="1" customHeight="1" x14ac:dyDescent="0.2">
      <c r="A200" s="154">
        <f t="shared" si="221"/>
        <v>45240.819444444445</v>
      </c>
      <c r="B200" s="119" t="s">
        <v>269</v>
      </c>
      <c r="C200" s="154">
        <v>45240</v>
      </c>
      <c r="D200" s="119" t="s">
        <v>53</v>
      </c>
      <c r="E200" s="120">
        <v>1.2969999999999999</v>
      </c>
      <c r="F200" s="119">
        <v>517</v>
      </c>
      <c r="G200" s="130">
        <v>0.81944444444444453</v>
      </c>
      <c r="H200" s="121">
        <v>22.4</v>
      </c>
      <c r="I200" s="121"/>
      <c r="J200" s="121">
        <v>451.9</v>
      </c>
      <c r="K200" s="121">
        <v>456.75</v>
      </c>
      <c r="L200" s="121">
        <f t="shared" si="259"/>
        <v>-4.8500000000000227</v>
      </c>
      <c r="M200" s="122">
        <v>35.218899999999998</v>
      </c>
      <c r="N200" s="122">
        <v>18.2729</v>
      </c>
      <c r="O200" s="123">
        <f t="shared" si="266"/>
        <v>25.131801337864999</v>
      </c>
      <c r="P200" s="123">
        <f t="shared" si="267"/>
        <v>13.112236854183038</v>
      </c>
      <c r="Q200" s="122">
        <f t="shared" si="268"/>
        <v>13.027015628754508</v>
      </c>
      <c r="R200" s="124">
        <f t="shared" si="269"/>
        <v>24.821190994901922</v>
      </c>
      <c r="S200" s="122">
        <f t="shared" si="270"/>
        <v>-7.857321655370697E-2</v>
      </c>
      <c r="T200" s="119"/>
      <c r="U200" s="155">
        <f t="shared" si="271"/>
        <v>-5.6049496679002058</v>
      </c>
      <c r="V200" s="119"/>
    </row>
    <row r="201" spans="1:22" s="101" customFormat="1" ht="15" hidden="1" customHeight="1" x14ac:dyDescent="0.2">
      <c r="A201" s="129">
        <f t="shared" si="221"/>
        <v>45240.878472222219</v>
      </c>
      <c r="B201" s="100" t="s">
        <v>270</v>
      </c>
      <c r="C201" s="129">
        <v>45240</v>
      </c>
      <c r="D201" s="100" t="s">
        <v>53</v>
      </c>
      <c r="E201" s="107">
        <v>1.409</v>
      </c>
      <c r="F201" s="100">
        <v>576</v>
      </c>
      <c r="G201" s="108">
        <v>0.87847222222222221</v>
      </c>
      <c r="H201" s="103">
        <v>24</v>
      </c>
      <c r="I201" s="103"/>
      <c r="J201" s="103">
        <v>452.61</v>
      </c>
      <c r="K201" s="103">
        <v>456.73</v>
      </c>
      <c r="L201" s="103">
        <f t="shared" si="259"/>
        <v>-4.1200000000000045</v>
      </c>
      <c r="M201" s="104">
        <v>31.165700000000001</v>
      </c>
      <c r="N201" s="104">
        <v>16.234200000000001</v>
      </c>
      <c r="O201" s="105">
        <f t="shared" si="266"/>
        <v>21.118095427759727</v>
      </c>
      <c r="P201" s="105">
        <f t="shared" si="267"/>
        <v>11.083869098078935</v>
      </c>
      <c r="Q201" s="104">
        <f t="shared" si="268"/>
        <v>11.022893173373729</v>
      </c>
      <c r="R201" s="106">
        <f t="shared" si="269"/>
        <v>20.898198926355978</v>
      </c>
      <c r="S201" s="104">
        <f t="shared" si="270"/>
        <v>-1.1355859742227636E-2</v>
      </c>
      <c r="T201" s="100"/>
      <c r="U201" s="152">
        <f t="shared" si="271"/>
        <v>-9.4983117558664425</v>
      </c>
      <c r="V201" s="100"/>
    </row>
    <row r="202" spans="1:22" ht="15" hidden="1" customHeight="1" x14ac:dyDescent="0.2">
      <c r="A202" s="62"/>
      <c r="B202" s="47" t="s">
        <v>271</v>
      </c>
      <c r="C202" s="62"/>
      <c r="D202" s="47" t="s">
        <v>53</v>
      </c>
      <c r="E202" s="48"/>
      <c r="F202" s="47"/>
      <c r="G202" s="67">
        <v>0.89583333333333337</v>
      </c>
      <c r="H202" s="49"/>
      <c r="I202" s="49"/>
      <c r="J202" s="49"/>
      <c r="K202" s="49"/>
      <c r="L202" s="49"/>
      <c r="M202" s="63"/>
      <c r="N202" s="63"/>
      <c r="O202" s="50"/>
      <c r="P202" s="50"/>
      <c r="Q202" s="63"/>
      <c r="R202" s="93"/>
      <c r="S202" s="63"/>
      <c r="T202" s="47"/>
      <c r="U202" s="150"/>
      <c r="V202" s="47"/>
    </row>
    <row r="203" spans="1:22" s="125" customFormat="1" ht="15" hidden="1" customHeight="1" x14ac:dyDescent="0.2">
      <c r="A203" s="154">
        <f t="shared" si="221"/>
        <v>45240.989583333336</v>
      </c>
      <c r="B203" s="119" t="s">
        <v>272</v>
      </c>
      <c r="C203" s="154">
        <v>45240</v>
      </c>
      <c r="D203" s="119" t="s">
        <v>83</v>
      </c>
      <c r="E203" s="120">
        <v>1.1000000000000001</v>
      </c>
      <c r="F203" s="119">
        <v>640</v>
      </c>
      <c r="G203" s="130">
        <v>0.98958333333333337</v>
      </c>
      <c r="H203" s="121"/>
      <c r="I203" s="121"/>
      <c r="J203" s="121">
        <v>450.64</v>
      </c>
      <c r="K203" s="121">
        <v>456.29</v>
      </c>
      <c r="L203" s="121">
        <f t="shared" si="259"/>
        <v>-5.6500000000000341</v>
      </c>
      <c r="M203" s="122">
        <v>34.817799999999998</v>
      </c>
      <c r="N203" s="122">
        <v>18.1143</v>
      </c>
      <c r="O203" s="123">
        <f t="shared" si="266"/>
        <v>24.734609627477312</v>
      </c>
      <c r="P203" s="123">
        <f t="shared" si="267"/>
        <v>12.954440647719025</v>
      </c>
      <c r="Q203" s="122">
        <f t="shared" si="268"/>
        <v>12.871249573732621</v>
      </c>
      <c r="R203" s="124">
        <f>1000*(LN(O203/1000+1))</f>
        <v>24.433661628857703</v>
      </c>
      <c r="S203" s="122">
        <f>Q203-0.528*R203</f>
        <v>-2.9723766304247334E-2</v>
      </c>
      <c r="T203" s="119"/>
      <c r="U203" s="155">
        <f t="shared" si="271"/>
        <v>-5.9902322923656657</v>
      </c>
      <c r="V203" s="119"/>
    </row>
    <row r="204" spans="1:22" s="101" customFormat="1" ht="15" hidden="1" customHeight="1" x14ac:dyDescent="0.2">
      <c r="A204" s="129">
        <f>C204+G204</f>
        <v>45241.048611111109</v>
      </c>
      <c r="B204" s="100" t="s">
        <v>273</v>
      </c>
      <c r="C204" s="129">
        <v>45241</v>
      </c>
      <c r="D204" s="100" t="s">
        <v>83</v>
      </c>
      <c r="E204" s="107">
        <v>1.526</v>
      </c>
      <c r="F204" s="100">
        <v>469</v>
      </c>
      <c r="G204" s="108">
        <v>4.8611111111111112E-2</v>
      </c>
      <c r="H204" s="103">
        <v>28</v>
      </c>
      <c r="I204" s="103"/>
      <c r="J204" s="103">
        <v>449.41</v>
      </c>
      <c r="K204" s="103">
        <v>456.51</v>
      </c>
      <c r="L204" s="103">
        <f t="shared" si="259"/>
        <v>-7.0999999999999659</v>
      </c>
      <c r="M204" s="104">
        <v>31.132100000000001</v>
      </c>
      <c r="N204" s="104">
        <v>16.130600000000001</v>
      </c>
      <c r="O204" s="105">
        <f t="shared" ref="O204" si="272">((1000+M204)/$R$22)-1000</f>
        <v>21.084822823748141</v>
      </c>
      <c r="P204" s="105">
        <f t="shared" ref="P204" si="273">((1000+N204)/$U$22)-1000</f>
        <v>10.980794148585346</v>
      </c>
      <c r="Q204" s="104">
        <f t="shared" ref="Q204" si="274">1000*(LN(P204/1000+1))</f>
        <v>10.920942972218969</v>
      </c>
      <c r="R204" s="106">
        <f>1000*(LN(O204/1000+1))</f>
        <v>20.865613913655118</v>
      </c>
      <c r="S204" s="104">
        <f>Q204-0.528*R204</f>
        <v>-9.6101174190934557E-2</v>
      </c>
      <c r="T204" s="100"/>
      <c r="U204" s="152">
        <f t="shared" ref="U204" si="275">(O204-30.91)/1.03091</f>
        <v>-9.5305867401149076</v>
      </c>
      <c r="V204" s="100"/>
    </row>
    <row r="205" spans="1:22" ht="15" hidden="1" customHeight="1" x14ac:dyDescent="0.2">
      <c r="A205" s="62">
        <f t="shared" si="221"/>
        <v>45241.086805555555</v>
      </c>
      <c r="B205" s="47" t="s">
        <v>274</v>
      </c>
      <c r="C205" s="62">
        <v>45241</v>
      </c>
      <c r="D205" s="47" t="s">
        <v>275</v>
      </c>
      <c r="E205" s="48"/>
      <c r="F205" s="47"/>
      <c r="G205" s="67">
        <v>8.6805555555555566E-2</v>
      </c>
      <c r="H205" s="49"/>
      <c r="I205" s="49"/>
      <c r="J205" s="49"/>
      <c r="K205" s="49"/>
      <c r="L205" s="49"/>
      <c r="M205" s="63"/>
      <c r="N205" s="63"/>
      <c r="O205" s="47"/>
      <c r="P205" s="47"/>
      <c r="Q205" s="47"/>
      <c r="R205" s="51"/>
      <c r="S205" s="47"/>
      <c r="T205" s="47"/>
      <c r="U205" s="51"/>
      <c r="V205" s="47" t="s">
        <v>276</v>
      </c>
    </row>
    <row r="206" spans="1:22" s="101" customFormat="1" ht="15" hidden="1" customHeight="1" x14ac:dyDescent="0.2">
      <c r="A206" s="129">
        <f t="shared" si="221"/>
        <v>45241.09375</v>
      </c>
      <c r="B206" s="100" t="s">
        <v>277</v>
      </c>
      <c r="C206" s="129">
        <v>45241</v>
      </c>
      <c r="D206" s="100" t="s">
        <v>41</v>
      </c>
      <c r="E206" s="107">
        <v>1.373</v>
      </c>
      <c r="F206" s="100">
        <v>436</v>
      </c>
      <c r="G206" s="108">
        <v>9.375E-2</v>
      </c>
      <c r="H206" s="103">
        <v>29</v>
      </c>
      <c r="I206" s="103"/>
      <c r="J206" s="103">
        <v>449.05</v>
      </c>
      <c r="K206" s="103">
        <v>456.69</v>
      </c>
      <c r="L206" s="103">
        <f t="shared" si="259"/>
        <v>-7.6399999999999864</v>
      </c>
      <c r="M206" s="104">
        <v>31.040199999999999</v>
      </c>
      <c r="N206" s="104">
        <v>16.101600000000001</v>
      </c>
      <c r="O206" s="105">
        <f t="shared" ref="O206" si="276">((1000+M206)/$R$22)-1000</f>
        <v>20.993818290752188</v>
      </c>
      <c r="P206" s="105">
        <f t="shared" ref="P206" si="277">((1000+N206)/$U$22)-1000</f>
        <v>10.951941122182802</v>
      </c>
      <c r="Q206" s="104">
        <f t="shared" ref="Q206" si="278">1000*(LN(P206/1000+1))</f>
        <v>10.892402926448714</v>
      </c>
      <c r="R206" s="106">
        <f>1000*(LN(O206/1000+1))</f>
        <v>20.776484600783387</v>
      </c>
      <c r="S206" s="104">
        <f>Q206-0.528*R206</f>
        <v>-7.758094276491434E-2</v>
      </c>
      <c r="T206" s="100"/>
      <c r="U206" s="152">
        <f t="shared" ref="U206" si="279">(O206-30.91)/1.03091</f>
        <v>-9.6188626642944701</v>
      </c>
      <c r="V206" s="100" t="s">
        <v>278</v>
      </c>
    </row>
    <row r="207" spans="1:22" s="101" customFormat="1" ht="15" hidden="1" customHeight="1" x14ac:dyDescent="0.2">
      <c r="A207" s="129">
        <f t="shared" si="221"/>
        <v>45241.152777777781</v>
      </c>
      <c r="B207" s="100" t="s">
        <v>279</v>
      </c>
      <c r="C207" s="129">
        <v>45241</v>
      </c>
      <c r="D207" s="100" t="s">
        <v>41</v>
      </c>
      <c r="E207" s="107">
        <v>0.92</v>
      </c>
      <c r="F207" s="100">
        <v>400</v>
      </c>
      <c r="G207" s="108">
        <v>0.15277777777777776</v>
      </c>
      <c r="H207" s="103">
        <v>30.75</v>
      </c>
      <c r="I207" s="103"/>
      <c r="J207" s="103">
        <v>452.39</v>
      </c>
      <c r="K207" s="103">
        <v>456.79</v>
      </c>
      <c r="L207" s="103">
        <f t="shared" si="259"/>
        <v>-4.4000000000000341</v>
      </c>
      <c r="M207" s="104">
        <v>30.517399999999999</v>
      </c>
      <c r="N207" s="104">
        <v>15.8764</v>
      </c>
      <c r="O207" s="105">
        <f t="shared" ref="O207" si="280">((1000+M207)/$R$22)-1000</f>
        <v>20.476112416429942</v>
      </c>
      <c r="P207" s="105">
        <f t="shared" ref="P207" si="281">((1000+N207)/$U$22)-1000</f>
        <v>10.727882448187302</v>
      </c>
      <c r="Q207" s="104">
        <f t="shared" ref="Q207" si="282">1000*(LN(P207/1000+1))</f>
        <v>10.670746982415892</v>
      </c>
      <c r="R207" s="106">
        <f>1000*(LN(O207/1000+1))</f>
        <v>20.269295268593911</v>
      </c>
      <c r="S207" s="104">
        <f>Q207-0.528*R207</f>
        <v>-3.1440919401694245E-2</v>
      </c>
      <c r="T207" s="100"/>
      <c r="U207" s="152">
        <f t="shared" ref="U207" si="283">(O207-30.91)/1.03091</f>
        <v>-10.121046050159624</v>
      </c>
      <c r="V207" s="100" t="s">
        <v>280</v>
      </c>
    </row>
    <row r="208" spans="1:22" ht="15" hidden="1" customHeight="1" x14ac:dyDescent="0.2">
      <c r="A208" s="62">
        <f t="shared" si="221"/>
        <v>45241.208333333336</v>
      </c>
      <c r="B208" s="47" t="s">
        <v>281</v>
      </c>
      <c r="C208" s="62">
        <v>45241</v>
      </c>
      <c r="D208" s="47" t="s">
        <v>41</v>
      </c>
      <c r="E208" s="48"/>
      <c r="F208" s="47"/>
      <c r="G208" s="67">
        <v>0.20833333333333334</v>
      </c>
      <c r="H208" s="49"/>
      <c r="I208" s="49"/>
      <c r="J208" s="49"/>
      <c r="K208" s="49"/>
      <c r="L208" s="49"/>
      <c r="M208" s="63"/>
      <c r="N208" s="63"/>
      <c r="O208" s="50"/>
      <c r="P208" s="50"/>
      <c r="Q208" s="63"/>
      <c r="R208" s="93"/>
      <c r="S208" s="63"/>
      <c r="T208" s="47"/>
      <c r="U208" s="150"/>
      <c r="V208" s="47" t="s">
        <v>282</v>
      </c>
    </row>
    <row r="209" spans="1:22" ht="15" hidden="1" customHeight="1" x14ac:dyDescent="0.2">
      <c r="A209" s="62">
        <v>45241</v>
      </c>
      <c r="B209" s="47" t="s">
        <v>283</v>
      </c>
      <c r="C209" s="62">
        <v>45241</v>
      </c>
      <c r="D209" s="47" t="s">
        <v>44</v>
      </c>
      <c r="E209" s="48">
        <v>3.5910000000000002</v>
      </c>
      <c r="F209" s="47"/>
      <c r="G209" s="67">
        <v>0.32291666666666669</v>
      </c>
      <c r="H209" s="49"/>
      <c r="I209" s="49"/>
      <c r="J209" s="49"/>
      <c r="K209" s="49"/>
      <c r="L209" s="49"/>
      <c r="M209" s="63"/>
      <c r="N209" s="63"/>
      <c r="O209" s="50"/>
      <c r="P209" s="50"/>
      <c r="Q209" s="63"/>
      <c r="R209" s="93"/>
      <c r="S209" s="63"/>
      <c r="T209" s="47"/>
      <c r="U209" s="150"/>
      <c r="V209" s="47" t="s">
        <v>284</v>
      </c>
    </row>
    <row r="210" spans="1:22" s="125" customFormat="1" ht="15" hidden="1" customHeight="1" x14ac:dyDescent="0.2">
      <c r="A210" s="154">
        <f t="shared" si="221"/>
        <v>45241.339583333334</v>
      </c>
      <c r="B210" s="119" t="s">
        <v>285</v>
      </c>
      <c r="C210" s="154">
        <v>45241</v>
      </c>
      <c r="D210" s="119" t="s">
        <v>44</v>
      </c>
      <c r="E210" s="120">
        <v>1.264</v>
      </c>
      <c r="F210" s="119">
        <v>519</v>
      </c>
      <c r="G210" s="130">
        <v>0.33958333333333335</v>
      </c>
      <c r="H210" s="121">
        <v>11.5</v>
      </c>
      <c r="I210" s="121"/>
      <c r="J210" s="121">
        <v>459.76</v>
      </c>
      <c r="K210" s="121">
        <v>456.05</v>
      </c>
      <c r="L210" s="121">
        <f t="shared" si="259"/>
        <v>3.7099999999999795</v>
      </c>
      <c r="M210" s="122">
        <v>34.9816</v>
      </c>
      <c r="N210" s="122">
        <v>18.164899999999999</v>
      </c>
      <c r="O210" s="123">
        <f t="shared" ref="O210" si="284">((1000+M210)/$R$22)-1000</f>
        <v>24.896813572033579</v>
      </c>
      <c r="P210" s="123">
        <f t="shared" ref="P210" si="285">((1000+N210)/$U$22)-1000</f>
        <v>13.004784204131852</v>
      </c>
      <c r="Q210" s="122">
        <f t="shared" ref="Q210" si="286">1000*(LN(P210/1000+1))</f>
        <v>12.920948063026552</v>
      </c>
      <c r="R210" s="124">
        <f t="shared" ref="R210" si="287">1000*(LN(O210/1000+1))</f>
        <v>24.59193783701765</v>
      </c>
      <c r="S210" s="122">
        <f t="shared" ref="S210" si="288">Q210-0.528*R210</f>
        <v>-6.3595114918767237E-2</v>
      </c>
      <c r="T210" s="119"/>
      <c r="U210" s="155">
        <f t="shared" ref="U210" si="289">(O210-30.91)/1.03091</f>
        <v>-5.832891744154602</v>
      </c>
      <c r="V210" s="119"/>
    </row>
    <row r="211" spans="1:22" s="101" customFormat="1" ht="15" hidden="1" customHeight="1" x14ac:dyDescent="0.2">
      <c r="A211" s="129">
        <f t="shared" si="221"/>
        <v>45241.409722222219</v>
      </c>
      <c r="B211" s="100" t="s">
        <v>286</v>
      </c>
      <c r="C211" s="129">
        <v>45241</v>
      </c>
      <c r="D211" s="100" t="s">
        <v>44</v>
      </c>
      <c r="E211" s="107">
        <v>0.95</v>
      </c>
      <c r="F211" s="100">
        <v>632</v>
      </c>
      <c r="G211" s="108">
        <v>0.40972222222222227</v>
      </c>
      <c r="H211" s="103">
        <v>12.5</v>
      </c>
      <c r="I211" s="103"/>
      <c r="J211" s="103">
        <v>458.43</v>
      </c>
      <c r="K211" s="103">
        <v>455.92</v>
      </c>
      <c r="L211" s="103">
        <f t="shared" si="259"/>
        <v>2.5099999999999909</v>
      </c>
      <c r="M211" s="104">
        <v>30.8658</v>
      </c>
      <c r="N211" s="104">
        <v>16.023599999999998</v>
      </c>
      <c r="O211" s="105">
        <f t="shared" ref="O211" si="290">((1000+M211)/$R$22)-1000</f>
        <v>20.821117631835364</v>
      </c>
      <c r="P211" s="105">
        <f t="shared" ref="P211" si="291">((1000+N211)/$U$22)-1000</f>
        <v>10.874336430479161</v>
      </c>
      <c r="Q211" s="104">
        <f t="shared" ref="Q211" si="292">1000*(LN(P211/1000+1))</f>
        <v>10.815636002798129</v>
      </c>
      <c r="R211" s="106">
        <f t="shared" ref="R211" si="293">1000*(LN(O211/1000+1))</f>
        <v>20.607320729670327</v>
      </c>
      <c r="S211" s="104">
        <f t="shared" ref="S211" si="294">Q211-0.528*R211</f>
        <v>-6.5029342467804341E-2</v>
      </c>
      <c r="T211" s="100"/>
      <c r="U211" s="152">
        <f t="shared" ref="U211" si="295">(O211-30.91)/1.03091</f>
        <v>-9.7863852015836841</v>
      </c>
      <c r="V211" s="100"/>
    </row>
    <row r="212" spans="1:22" s="125" customFormat="1" ht="15" hidden="1" customHeight="1" x14ac:dyDescent="0.2">
      <c r="A212" s="154">
        <f t="shared" si="221"/>
        <v>45241.461111111108</v>
      </c>
      <c r="B212" s="119" t="s">
        <v>287</v>
      </c>
      <c r="C212" s="154">
        <v>45241</v>
      </c>
      <c r="D212" s="119" t="s">
        <v>44</v>
      </c>
      <c r="E212" s="120">
        <v>1.135</v>
      </c>
      <c r="F212" s="119">
        <v>584</v>
      </c>
      <c r="G212" s="130">
        <v>0.46111111111111108</v>
      </c>
      <c r="H212" s="121">
        <v>13.5</v>
      </c>
      <c r="I212" s="121"/>
      <c r="J212" s="121">
        <v>459.72</v>
      </c>
      <c r="K212" s="121">
        <v>456.56</v>
      </c>
      <c r="L212" s="121">
        <f t="shared" si="259"/>
        <v>3.160000000000025</v>
      </c>
      <c r="M212" s="122">
        <v>35.554600000000001</v>
      </c>
      <c r="N212" s="122">
        <v>18.502800000000001</v>
      </c>
      <c r="O212" s="123">
        <f t="shared" ref="O212:O213" si="296">((1000+M212)/$R$22)-1000</f>
        <v>25.464230301158523</v>
      </c>
      <c r="P212" s="123">
        <f t="shared" ref="P212:P213" si="297">((1000+N212)/$U$22)-1000</f>
        <v>13.340971708319671</v>
      </c>
      <c r="Q212" s="122">
        <f t="shared" ref="Q212:Q213" si="298">1000*(LN(P212/1000+1))</f>
        <v>13.252764591663389</v>
      </c>
      <c r="R212" s="124">
        <f t="shared" ref="R212:R213" si="299">1000*(LN(O212/1000+1))</f>
        <v>25.145417669562949</v>
      </c>
      <c r="S212" s="122">
        <f t="shared" ref="S212:S213" si="300">Q212-0.528*R212</f>
        <v>-2.4015937865847548E-2</v>
      </c>
      <c r="T212" s="119"/>
      <c r="U212" s="155">
        <f t="shared" ref="U212:U213" si="301">(O212-30.91)/1.03091</f>
        <v>-5.2824879949185455</v>
      </c>
      <c r="V212" s="119" t="s">
        <v>288</v>
      </c>
    </row>
    <row r="213" spans="1:22" s="101" customFormat="1" ht="15" hidden="1" customHeight="1" x14ac:dyDescent="0.2">
      <c r="A213" s="129">
        <f>C213+G213</f>
        <v>45241.583333333336</v>
      </c>
      <c r="B213" s="100" t="s">
        <v>289</v>
      </c>
      <c r="C213" s="129">
        <v>45241</v>
      </c>
      <c r="D213" s="100" t="s">
        <v>53</v>
      </c>
      <c r="E213" s="107">
        <v>1.1399999999999999</v>
      </c>
      <c r="F213" s="100">
        <v>529</v>
      </c>
      <c r="G213" s="108">
        <v>0.58333333333333337</v>
      </c>
      <c r="H213" s="103">
        <v>16.5</v>
      </c>
      <c r="I213" s="103"/>
      <c r="J213" s="103">
        <v>453.61</v>
      </c>
      <c r="K213" s="103">
        <v>456.7</v>
      </c>
      <c r="L213" s="103">
        <f t="shared" si="259"/>
        <v>-3.089999999999975</v>
      </c>
      <c r="M213" s="104">
        <v>29.761399999999998</v>
      </c>
      <c r="N213" s="104">
        <v>15.459</v>
      </c>
      <c r="O213" s="105">
        <f t="shared" si="296"/>
        <v>19.727478826170682</v>
      </c>
      <c r="P213" s="105">
        <f t="shared" si="297"/>
        <v>10.31259785437851</v>
      </c>
      <c r="Q213" s="104">
        <f t="shared" si="298"/>
        <v>10.259785793166106</v>
      </c>
      <c r="R213" s="106">
        <f t="shared" si="299"/>
        <v>19.535413976479145</v>
      </c>
      <c r="S213" s="104">
        <f t="shared" si="300"/>
        <v>-5.4912786414883286E-2</v>
      </c>
      <c r="T213" s="100"/>
      <c r="U213" s="152">
        <f t="shared" si="301"/>
        <v>-10.847233195748725</v>
      </c>
      <c r="V213" s="100"/>
    </row>
    <row r="214" spans="1:22" s="125" customFormat="1" ht="15" hidden="1" customHeight="1" x14ac:dyDescent="0.2">
      <c r="A214" s="154">
        <f t="shared" si="221"/>
        <v>45241.635416666664</v>
      </c>
      <c r="B214" s="119" t="s">
        <v>290</v>
      </c>
      <c r="C214" s="154">
        <v>45241</v>
      </c>
      <c r="D214" s="119" t="s">
        <v>53</v>
      </c>
      <c r="E214" s="120">
        <v>1.2090000000000001</v>
      </c>
      <c r="F214" s="119">
        <v>660</v>
      </c>
      <c r="G214" s="130">
        <v>0.63541666666666663</v>
      </c>
      <c r="H214" s="121">
        <v>17.75</v>
      </c>
      <c r="I214" s="121"/>
      <c r="J214" s="121">
        <v>452.61</v>
      </c>
      <c r="K214" s="121">
        <v>456.75</v>
      </c>
      <c r="L214" s="121">
        <f t="shared" si="259"/>
        <v>-4.1399999999999864</v>
      </c>
      <c r="M214" s="122">
        <v>35.837600000000002</v>
      </c>
      <c r="N214" s="122">
        <v>18.645099999999999</v>
      </c>
      <c r="O214" s="123">
        <f t="shared" ref="O214:O215" si="302">((1000+M214)/$R$22)-1000</f>
        <v>25.744472769470121</v>
      </c>
      <c r="P214" s="123">
        <f t="shared" ref="P214:P215" si="303">((1000+N214)/$U$22)-1000</f>
        <v>13.482550524081375</v>
      </c>
      <c r="Q214" s="122">
        <f t="shared" ref="Q214:Q215" si="304">1000*(LN(P214/1000+1))</f>
        <v>13.39246971590237</v>
      </c>
      <c r="R214" s="124">
        <f t="shared" ref="R214:R215" si="305">1000*(LN(O214/1000+1))</f>
        <v>25.418663848399699</v>
      </c>
      <c r="S214" s="122">
        <f t="shared" ref="S214:S215" si="306">Q214-0.528*R214</f>
        <v>-2.858479605267128E-2</v>
      </c>
      <c r="T214" s="119"/>
      <c r="U214" s="155">
        <f t="shared" ref="U214:U215" si="307">(O214-30.91)/1.03091</f>
        <v>-5.010648097826075</v>
      </c>
      <c r="V214" s="119"/>
    </row>
    <row r="215" spans="1:22" s="101" customFormat="1" ht="15" hidden="1" customHeight="1" x14ac:dyDescent="0.2">
      <c r="A215" s="129">
        <f>C215+G215</f>
        <v>45241.6875</v>
      </c>
      <c r="B215" s="100" t="s">
        <v>291</v>
      </c>
      <c r="C215" s="129">
        <v>45241</v>
      </c>
      <c r="D215" s="100" t="s">
        <v>53</v>
      </c>
      <c r="E215" s="107">
        <v>1.355</v>
      </c>
      <c r="F215" s="100">
        <v>530</v>
      </c>
      <c r="G215" s="108">
        <v>0.6875</v>
      </c>
      <c r="H215" s="103">
        <v>19</v>
      </c>
      <c r="I215" s="103"/>
      <c r="J215" s="103">
        <v>452.83</v>
      </c>
      <c r="K215" s="103">
        <v>456.73</v>
      </c>
      <c r="L215" s="103">
        <f t="shared" si="259"/>
        <v>-3.9000000000000341</v>
      </c>
      <c r="M215" s="104">
        <v>31.399899999999999</v>
      </c>
      <c r="N215" s="104">
        <v>16.318100000000001</v>
      </c>
      <c r="O215" s="105">
        <f t="shared" si="302"/>
        <v>21.3500133997685</v>
      </c>
      <c r="P215" s="105">
        <f t="shared" si="303"/>
        <v>11.167343888257506</v>
      </c>
      <c r="Q215" s="104">
        <f t="shared" si="304"/>
        <v>11.10544947467786</v>
      </c>
      <c r="R215" s="106">
        <f t="shared" si="305"/>
        <v>21.125294734611991</v>
      </c>
      <c r="S215" s="104">
        <f t="shared" si="306"/>
        <v>-4.8706145197272122E-2</v>
      </c>
      <c r="T215" s="100"/>
      <c r="U215" s="152">
        <f t="shared" si="307"/>
        <v>-9.2733474311351145</v>
      </c>
      <c r="V215" s="100"/>
    </row>
    <row r="216" spans="1:22" s="125" customFormat="1" ht="15" hidden="1" customHeight="1" x14ac:dyDescent="0.2">
      <c r="A216" s="154">
        <f t="shared" ref="A216" si="308">C216+G216</f>
        <v>45241.739583333336</v>
      </c>
      <c r="B216" s="119" t="s">
        <v>292</v>
      </c>
      <c r="C216" s="154">
        <v>45241</v>
      </c>
      <c r="D216" s="119" t="s">
        <v>53</v>
      </c>
      <c r="E216" s="120">
        <v>1.171</v>
      </c>
      <c r="F216" s="119">
        <v>613</v>
      </c>
      <c r="G216" s="130">
        <v>0.73958333333333337</v>
      </c>
      <c r="H216" s="121">
        <v>20.25</v>
      </c>
      <c r="I216" s="121"/>
      <c r="J216" s="121">
        <v>452.49</v>
      </c>
      <c r="K216" s="121">
        <v>456.78</v>
      </c>
      <c r="L216" s="121">
        <f t="shared" si="259"/>
        <v>-4.2899999999999636</v>
      </c>
      <c r="M216" s="122">
        <v>35.863100000000003</v>
      </c>
      <c r="N216" s="122">
        <v>18.615300000000001</v>
      </c>
      <c r="O216" s="123">
        <f t="shared" ref="O216" si="309">((1000+M216)/$R$22)-1000</f>
        <v>25.769724299300378</v>
      </c>
      <c r="P216" s="123">
        <f t="shared" ref="P216" si="310">((1000+N216)/$U$22)-1000</f>
        <v>13.452901552122967</v>
      </c>
      <c r="Q216" s="122">
        <f t="shared" ref="Q216" si="311">1000*(LN(P216/1000+1))</f>
        <v>13.363214741916696</v>
      </c>
      <c r="R216" s="124">
        <f t="shared" ref="R216" si="312">1000*(LN(O216/1000+1))</f>
        <v>25.443281304001605</v>
      </c>
      <c r="S216" s="122">
        <f t="shared" ref="S216" si="313">Q216-0.528*R216</f>
        <v>-7.0837786596152696E-2</v>
      </c>
      <c r="T216" s="119"/>
      <c r="U216" s="155">
        <f t="shared" ref="U216" si="314">(O216-30.91)/1.03091</f>
        <v>-4.9861536901374723</v>
      </c>
      <c r="V216" s="119"/>
    </row>
    <row r="217" spans="1:22" ht="15" hidden="1" customHeight="1" x14ac:dyDescent="0.2">
      <c r="A217" s="62">
        <f t="shared" si="221"/>
        <v>45241.854166666664</v>
      </c>
      <c r="B217" s="47" t="s">
        <v>293</v>
      </c>
      <c r="C217" s="62">
        <v>45241</v>
      </c>
      <c r="D217" s="47" t="s">
        <v>53</v>
      </c>
      <c r="E217" s="48">
        <v>1.696</v>
      </c>
      <c r="F217" s="47">
        <v>175</v>
      </c>
      <c r="G217" s="67">
        <v>0.85416666666666663</v>
      </c>
      <c r="H217" s="49">
        <v>23</v>
      </c>
      <c r="I217" s="49"/>
      <c r="J217" s="49"/>
      <c r="K217" s="49"/>
      <c r="L217" s="49"/>
      <c r="M217" s="63"/>
      <c r="N217" s="63"/>
      <c r="O217" s="47"/>
      <c r="P217" s="47"/>
      <c r="Q217" s="47"/>
      <c r="R217" s="51"/>
      <c r="S217" s="47"/>
      <c r="T217" s="47"/>
      <c r="U217" s="51"/>
      <c r="V217" s="47"/>
    </row>
    <row r="218" spans="1:22" ht="15" hidden="1" customHeight="1" x14ac:dyDescent="0.2">
      <c r="A218" s="47"/>
      <c r="B218" s="62" t="s">
        <v>294</v>
      </c>
      <c r="C218" s="62"/>
      <c r="D218" s="47" t="s">
        <v>41</v>
      </c>
      <c r="E218" s="48"/>
      <c r="F218" s="47"/>
      <c r="G218" s="67">
        <v>0.85416666666666663</v>
      </c>
      <c r="H218" s="49"/>
      <c r="I218" s="49"/>
      <c r="J218" s="49"/>
      <c r="K218" s="49"/>
      <c r="L218" s="49"/>
      <c r="M218" s="63"/>
      <c r="N218" s="63"/>
      <c r="O218" s="47"/>
      <c r="P218" s="47"/>
      <c r="Q218" s="47"/>
      <c r="R218" s="51"/>
      <c r="S218" s="47"/>
      <c r="T218" s="47"/>
      <c r="U218" s="51"/>
      <c r="V218" s="47"/>
    </row>
    <row r="219" spans="1:22" s="101" customFormat="1" ht="15" hidden="1" customHeight="1" x14ac:dyDescent="0.2">
      <c r="A219" s="129">
        <f t="shared" si="221"/>
        <v>45241.864583333336</v>
      </c>
      <c r="B219" s="100" t="s">
        <v>295</v>
      </c>
      <c r="C219" s="129">
        <v>45241</v>
      </c>
      <c r="D219" s="100" t="s">
        <v>53</v>
      </c>
      <c r="E219" s="107">
        <v>1.593</v>
      </c>
      <c r="F219" s="100">
        <v>529</v>
      </c>
      <c r="G219" s="108">
        <v>0.86458333333333337</v>
      </c>
      <c r="H219" s="103">
        <v>23.25</v>
      </c>
      <c r="I219" s="103"/>
      <c r="J219" s="103">
        <v>455.17</v>
      </c>
      <c r="K219" s="103">
        <v>456.75</v>
      </c>
      <c r="L219" s="103">
        <f t="shared" ref="L219:L221" si="315">J219-K219</f>
        <v>-1.5799999999999841</v>
      </c>
      <c r="M219" s="104">
        <v>30.776499999999999</v>
      </c>
      <c r="N219" s="104">
        <v>15.9712</v>
      </c>
      <c r="O219" s="105">
        <f t="shared" ref="O219:O220" si="316">((1000+M219)/$R$22)-1000</f>
        <v>20.732687764626007</v>
      </c>
      <c r="P219" s="105">
        <f t="shared" ref="P219:P220" si="317">((1000+N219)/$U$22)-1000</f>
        <v>10.822201996565468</v>
      </c>
      <c r="Q219" s="104">
        <f t="shared" ref="Q219:Q220" si="318">1000*(LN(P219/1000+1))</f>
        <v>10.764061067653968</v>
      </c>
      <c r="R219" s="106">
        <f t="shared" ref="R219:R220" si="319">1000*(LN(O219/1000+1))</f>
        <v>20.520690764757518</v>
      </c>
      <c r="S219" s="104">
        <f t="shared" ref="S219:S220" si="320">Q219-0.528*R219</f>
        <v>-7.0863656138001829E-2</v>
      </c>
      <c r="T219" s="100"/>
      <c r="U219" s="152">
        <f t="shared" ref="U219:U220" si="321">(O219-30.91)/1.03091</f>
        <v>-9.8721636567440356</v>
      </c>
      <c r="V219" s="100"/>
    </row>
    <row r="220" spans="1:22" s="125" customFormat="1" ht="15" hidden="1" customHeight="1" x14ac:dyDescent="0.2">
      <c r="A220" s="154">
        <f t="shared" si="221"/>
        <v>45241.927083333336</v>
      </c>
      <c r="B220" s="119" t="s">
        <v>296</v>
      </c>
      <c r="C220" s="154">
        <v>45241</v>
      </c>
      <c r="D220" s="119" t="s">
        <v>53</v>
      </c>
      <c r="E220" s="120">
        <v>1.28</v>
      </c>
      <c r="F220" s="119">
        <v>613</v>
      </c>
      <c r="G220" s="130">
        <v>0.92708333333333337</v>
      </c>
      <c r="H220" s="121">
        <v>20.25</v>
      </c>
      <c r="I220" s="121"/>
      <c r="J220" s="121">
        <v>454.33</v>
      </c>
      <c r="K220" s="121">
        <v>456.66</v>
      </c>
      <c r="L220" s="121">
        <f t="shared" si="315"/>
        <v>-2.3300000000000409</v>
      </c>
      <c r="M220" s="122">
        <v>35.728000000000002</v>
      </c>
      <c r="N220" s="122">
        <v>18.581199999999999</v>
      </c>
      <c r="O220" s="123">
        <f t="shared" si="316"/>
        <v>25.635940704004042</v>
      </c>
      <c r="P220" s="123">
        <f t="shared" si="317"/>
        <v>13.418974372801131</v>
      </c>
      <c r="Q220" s="122">
        <f t="shared" si="318"/>
        <v>13.32973736258346</v>
      </c>
      <c r="R220" s="124">
        <f t="shared" si="319"/>
        <v>25.312850158403876</v>
      </c>
      <c r="S220" s="122">
        <f t="shared" si="320"/>
        <v>-3.5447521053786346E-2</v>
      </c>
      <c r="T220" s="119"/>
      <c r="U220" s="155">
        <f t="shared" si="321"/>
        <v>-5.1159260226362706</v>
      </c>
      <c r="V220" s="119"/>
    </row>
    <row r="221" spans="1:22" s="101" customFormat="1" ht="15" hidden="1" customHeight="1" x14ac:dyDescent="0.2">
      <c r="A221" s="129">
        <f t="shared" si="221"/>
        <v>45241.979166666664</v>
      </c>
      <c r="B221" s="100" t="s">
        <v>297</v>
      </c>
      <c r="C221" s="129">
        <v>45241</v>
      </c>
      <c r="D221" s="100" t="s">
        <v>83</v>
      </c>
      <c r="E221" s="107">
        <v>1.3080000000000001</v>
      </c>
      <c r="F221" s="100">
        <v>650</v>
      </c>
      <c r="G221" s="108">
        <v>0.97916666666666663</v>
      </c>
      <c r="H221" s="103">
        <v>25.75</v>
      </c>
      <c r="I221" s="103"/>
      <c r="J221" s="103">
        <v>453.41</v>
      </c>
      <c r="K221" s="103">
        <v>456.82</v>
      </c>
      <c r="L221" s="103">
        <f t="shared" si="315"/>
        <v>-3.4099999999999682</v>
      </c>
      <c r="M221" s="104">
        <v>31.021100000000001</v>
      </c>
      <c r="N221" s="104">
        <v>16.186599999999999</v>
      </c>
      <c r="O221" s="105">
        <f t="shared" ref="O221" si="322">((1000+M221)/$R$22)-1000</f>
        <v>20.974904399781394</v>
      </c>
      <c r="P221" s="105">
        <f t="shared" ref="P221" si="323">((1000+N221)/$U$22)-1000</f>
        <v>11.036510337500886</v>
      </c>
      <c r="Q221" s="104">
        <f t="shared" ref="Q221" si="324">1000*(LN(P221/1000+1))</f>
        <v>10.976052479745073</v>
      </c>
      <c r="R221" s="106">
        <f t="shared" ref="R221" si="325">1000*(LN(O221/1000+1))</f>
        <v>20.757959448305662</v>
      </c>
      <c r="S221" s="104">
        <f>Q221-0.528*R221</f>
        <v>1.5849891039682262E-2</v>
      </c>
      <c r="T221" s="100"/>
      <c r="U221" s="152">
        <f t="shared" ref="U221" si="326">(O221-30.91)/1.03091</f>
        <v>-9.6372094559356363</v>
      </c>
      <c r="V221" s="100"/>
    </row>
    <row r="222" spans="1:22" ht="15" customHeight="1" x14ac:dyDescent="0.2">
      <c r="A222" s="62">
        <f t="shared" si="221"/>
        <v>45242.034722222219</v>
      </c>
      <c r="B222" s="47" t="s">
        <v>298</v>
      </c>
      <c r="C222" s="62">
        <v>45242</v>
      </c>
      <c r="D222" s="47" t="s">
        <v>83</v>
      </c>
      <c r="E222" s="48">
        <v>1.133</v>
      </c>
      <c r="F222" s="47">
        <v>415</v>
      </c>
      <c r="G222" s="67">
        <v>3.4722222222222224E-2</v>
      </c>
      <c r="H222" s="49"/>
      <c r="I222" s="49"/>
      <c r="J222" s="49"/>
      <c r="K222" s="49"/>
      <c r="L222" s="49"/>
      <c r="M222" s="63"/>
      <c r="N222" s="63"/>
      <c r="O222" s="47"/>
      <c r="P222" s="47"/>
      <c r="Q222" s="47"/>
      <c r="R222" s="51"/>
      <c r="S222" s="47"/>
      <c r="T222" s="47"/>
      <c r="U222" s="51"/>
      <c r="V222" s="47"/>
    </row>
    <row r="223" spans="1:22" ht="15" customHeight="1" x14ac:dyDescent="0.2">
      <c r="A223" s="62">
        <f t="shared" si="221"/>
        <v>0</v>
      </c>
      <c r="B223" s="47" t="s">
        <v>299</v>
      </c>
      <c r="C223" s="47"/>
      <c r="D223" s="47"/>
      <c r="E223" s="48"/>
      <c r="F223" s="47"/>
      <c r="G223" s="47"/>
      <c r="H223" s="49"/>
      <c r="I223" s="49"/>
      <c r="J223" s="49"/>
      <c r="K223" s="49"/>
      <c r="L223" s="49"/>
      <c r="M223" s="63"/>
      <c r="N223" s="63"/>
      <c r="O223" s="47"/>
      <c r="P223" s="47"/>
      <c r="Q223" s="47"/>
      <c r="R223" s="51"/>
      <c r="S223" s="47"/>
      <c r="T223" s="47"/>
      <c r="U223" s="51"/>
      <c r="V223" s="47"/>
    </row>
    <row r="224" spans="1:22" ht="15" customHeight="1" x14ac:dyDescent="0.2">
      <c r="A224" s="62">
        <f t="shared" si="221"/>
        <v>45242.118055555555</v>
      </c>
      <c r="B224" s="47" t="s">
        <v>300</v>
      </c>
      <c r="C224" s="62">
        <v>45242</v>
      </c>
      <c r="D224" s="47" t="s">
        <v>41</v>
      </c>
      <c r="E224" s="48">
        <v>0.91100000000000003</v>
      </c>
      <c r="F224" s="47">
        <v>334</v>
      </c>
      <c r="G224" s="67">
        <v>0.11805555555555557</v>
      </c>
      <c r="H224" s="49">
        <v>28.3</v>
      </c>
      <c r="I224" s="49"/>
      <c r="J224" s="49"/>
      <c r="K224" s="49"/>
      <c r="L224" s="49"/>
      <c r="M224" s="63"/>
      <c r="N224" s="63"/>
      <c r="O224" s="47"/>
      <c r="P224" s="47"/>
      <c r="Q224" s="47"/>
      <c r="R224" s="51"/>
      <c r="S224" s="47"/>
      <c r="T224" s="47"/>
      <c r="U224" s="51"/>
      <c r="V224" s="47" t="s">
        <v>71</v>
      </c>
    </row>
    <row r="225" spans="1:22" s="125" customFormat="1" ht="15" customHeight="1" x14ac:dyDescent="0.2">
      <c r="A225" s="154">
        <f t="shared" si="221"/>
        <v>45242.128472222219</v>
      </c>
      <c r="B225" s="119" t="s">
        <v>301</v>
      </c>
      <c r="C225" s="154">
        <v>45242</v>
      </c>
      <c r="D225" s="119" t="s">
        <v>41</v>
      </c>
      <c r="E225" s="120">
        <v>3.4489999999999998</v>
      </c>
      <c r="F225" s="119">
        <v>458</v>
      </c>
      <c r="G225" s="130">
        <v>0.12847222222222224</v>
      </c>
      <c r="H225" s="121" t="s">
        <v>161</v>
      </c>
      <c r="I225" s="121"/>
      <c r="J225" s="121">
        <v>451.75</v>
      </c>
      <c r="K225" s="121">
        <v>456.52</v>
      </c>
      <c r="L225" s="121">
        <f t="shared" ref="L225" si="327">J225-K225</f>
        <v>-4.7699999999999818</v>
      </c>
      <c r="M225" s="122">
        <v>33.959299999999999</v>
      </c>
      <c r="N225" s="122">
        <v>17.616299999999999</v>
      </c>
      <c r="O225" s="123">
        <f t="shared" ref="O225" si="328">((1000+M225)/$R$22)-1000</f>
        <v>23.884474789861201</v>
      </c>
      <c r="P225" s="123">
        <f t="shared" ref="P225" si="329">((1000+N225)/$U$22)-1000</f>
        <v>12.458964539149974</v>
      </c>
      <c r="Q225" s="122">
        <f t="shared" ref="Q225" si="330">1000*(LN(P225/1000+1))</f>
        <v>12.381990327018853</v>
      </c>
      <c r="R225" s="124">
        <f t="shared" ref="R225" si="331">1000*(LN(O225/1000+1))</f>
        <v>23.603702664907125</v>
      </c>
      <c r="S225" s="122">
        <f t="shared" ref="S225" si="332">Q225-0.528*R225</f>
        <v>-8.0764680052109128E-2</v>
      </c>
      <c r="T225" s="119"/>
      <c r="U225" s="155">
        <f t="shared" ref="U225" si="333">(O225-30.91)/1.03091</f>
        <v>-6.8148773512128109</v>
      </c>
      <c r="V225" s="132" t="s">
        <v>302</v>
      </c>
    </row>
    <row r="226" spans="1:22" ht="15" customHeight="1" x14ac:dyDescent="0.2">
      <c r="A226" s="62">
        <f t="shared" si="221"/>
        <v>45242.145833333336</v>
      </c>
      <c r="B226" s="134" t="s">
        <v>303</v>
      </c>
      <c r="C226" s="62">
        <v>45242</v>
      </c>
      <c r="D226" s="47" t="s">
        <v>41</v>
      </c>
      <c r="E226" s="48"/>
      <c r="F226" s="47"/>
      <c r="G226" s="67">
        <v>0.14583333333333334</v>
      </c>
      <c r="H226" s="49"/>
      <c r="I226" s="49"/>
      <c r="J226" s="49"/>
      <c r="K226" s="49"/>
      <c r="L226" s="49"/>
      <c r="M226" s="63"/>
      <c r="N226" s="63"/>
      <c r="O226" s="47"/>
      <c r="P226" s="47"/>
      <c r="Q226" s="47"/>
      <c r="R226" s="51"/>
      <c r="S226" s="47"/>
      <c r="T226" s="47"/>
      <c r="U226" s="51"/>
      <c r="V226" s="47"/>
    </row>
    <row r="227" spans="1:22" s="101" customFormat="1" ht="15" customHeight="1" x14ac:dyDescent="0.2">
      <c r="A227" s="129">
        <f t="shared" si="221"/>
        <v>45242.184027777781</v>
      </c>
      <c r="B227" s="100" t="s">
        <v>304</v>
      </c>
      <c r="C227" s="129">
        <v>45242</v>
      </c>
      <c r="D227" s="100" t="s">
        <v>41</v>
      </c>
      <c r="E227" s="107">
        <v>1.1080000000000001</v>
      </c>
      <c r="F227" s="100">
        <v>502</v>
      </c>
      <c r="G227" s="108">
        <v>0.18402777777777779</v>
      </c>
      <c r="H227" s="103">
        <v>30</v>
      </c>
      <c r="I227" s="103"/>
      <c r="J227" s="103">
        <v>453.72</v>
      </c>
      <c r="K227" s="103">
        <v>456.34</v>
      </c>
      <c r="L227" s="103">
        <f t="shared" ref="L227:L247" si="334">J227-K227</f>
        <v>-2.6199999999999477</v>
      </c>
      <c r="M227" s="104">
        <v>32.067300000000003</v>
      </c>
      <c r="N227" s="104">
        <v>16.6096</v>
      </c>
      <c r="O227" s="105">
        <f t="shared" ref="O227:O228" si="335">((1000+M227)/$R$22)-1000</f>
        <v>22.010910302068964</v>
      </c>
      <c r="P227" s="105">
        <f t="shared" ref="P227:P228" si="336">((1000+N227)/$U$22)-1000</f>
        <v>11.457366550201073</v>
      </c>
      <c r="Q227" s="104">
        <f t="shared" ref="Q227:Q228" si="337">1000*(LN(P227/1000+1))</f>
        <v>11.392227998083078</v>
      </c>
      <c r="R227" s="106">
        <f t="shared" ref="R227:R228" si="338">1000*(LN(O227/1000+1))</f>
        <v>21.772167166868055</v>
      </c>
      <c r="S227" s="104">
        <f>Q227-0.528*R227</f>
        <v>-0.10347626602325555</v>
      </c>
      <c r="T227" s="100"/>
      <c r="U227" s="152">
        <f t="shared" ref="U227:U228" si="339">(O227-30.91)/1.03091</f>
        <v>-8.6322663452008772</v>
      </c>
      <c r="V227" s="100"/>
    </row>
    <row r="228" spans="1:22" s="125" customFormat="1" ht="15" customHeight="1" x14ac:dyDescent="0.2">
      <c r="A228" s="154">
        <f t="shared" si="221"/>
        <v>45242.236111111109</v>
      </c>
      <c r="B228" s="119" t="s">
        <v>305</v>
      </c>
      <c r="C228" s="154">
        <v>45242</v>
      </c>
      <c r="D228" s="119" t="s">
        <v>41</v>
      </c>
      <c r="E228" s="120">
        <v>2.863</v>
      </c>
      <c r="F228" s="119">
        <v>550</v>
      </c>
      <c r="G228" s="130">
        <v>0.23611111111111113</v>
      </c>
      <c r="H228" s="121" t="s">
        <v>161</v>
      </c>
      <c r="I228" s="121"/>
      <c r="J228" s="121">
        <v>452.41</v>
      </c>
      <c r="K228" s="121">
        <v>456.3</v>
      </c>
      <c r="L228" s="121">
        <f t="shared" si="334"/>
        <v>-3.8899999999999864</v>
      </c>
      <c r="M228" s="122">
        <v>35.342700000000001</v>
      </c>
      <c r="N228" s="122">
        <v>18.341999999999999</v>
      </c>
      <c r="O228" s="123">
        <f t="shared" si="335"/>
        <v>25.254395039550218</v>
      </c>
      <c r="P228" s="123">
        <f t="shared" si="336"/>
        <v>13.180986651576859</v>
      </c>
      <c r="Q228" s="122">
        <f t="shared" si="337"/>
        <v>13.094873327356829</v>
      </c>
      <c r="R228" s="124">
        <f t="shared" si="338"/>
        <v>24.940772078746527</v>
      </c>
      <c r="S228" s="122">
        <f t="shared" ref="S228" si="340">Q228-0.528*R228</f>
        <v>-7.385433022133725E-2</v>
      </c>
      <c r="T228" s="119"/>
      <c r="U228" s="155">
        <f t="shared" si="339"/>
        <v>-5.4860317199850446</v>
      </c>
      <c r="V228" s="119"/>
    </row>
    <row r="229" spans="1:22" s="101" customFormat="1" ht="15" customHeight="1" x14ac:dyDescent="0.2">
      <c r="A229" s="129">
        <f t="shared" si="221"/>
        <v>45242.364583333336</v>
      </c>
      <c r="B229" s="100" t="s">
        <v>306</v>
      </c>
      <c r="C229" s="129">
        <v>45242</v>
      </c>
      <c r="D229" s="100" t="s">
        <v>44</v>
      </c>
      <c r="E229" s="100">
        <v>0.89500000000000002</v>
      </c>
      <c r="F229" s="100">
        <v>565</v>
      </c>
      <c r="G229" s="108">
        <v>0.36458333333333331</v>
      </c>
      <c r="H229" s="103"/>
      <c r="I229" s="103"/>
      <c r="J229" s="103">
        <v>454.26</v>
      </c>
      <c r="K229" s="103">
        <v>456.89</v>
      </c>
      <c r="L229" s="103">
        <f t="shared" si="334"/>
        <v>-2.6299999999999955</v>
      </c>
      <c r="M229" s="104">
        <v>31.643699999999999</v>
      </c>
      <c r="N229" s="104">
        <v>16.475999999999999</v>
      </c>
      <c r="O229" s="105">
        <f t="shared" ref="O229:O230" si="341">((1000+M229)/$R$22)-1000</f>
        <v>21.591437830066639</v>
      </c>
      <c r="P229" s="105">
        <f t="shared" ref="P229:P230" si="342">((1000+N229)/$U$22)-1000</f>
        <v>11.324443642360052</v>
      </c>
      <c r="Q229" s="104">
        <f t="shared" ref="Q229:Q230" si="343">1000*(LN(P229/1000+1))</f>
        <v>11.260802149420009</v>
      </c>
      <c r="R229" s="106">
        <f t="shared" ref="R229:R230" si="344">1000*(LN(O229/1000+1))</f>
        <v>21.361644563704232</v>
      </c>
      <c r="S229" s="104">
        <f t="shared" ref="S229:S230" si="345">Q229-0.528*R229</f>
        <v>-1.8146180215826035E-2</v>
      </c>
      <c r="T229" s="100"/>
      <c r="U229" s="152">
        <f t="shared" ref="U229" si="346">(O229-30.91)/1.03091</f>
        <v>-9.0391616823324643</v>
      </c>
      <c r="V229" s="100"/>
    </row>
    <row r="230" spans="1:22" s="125" customFormat="1" ht="15" customHeight="1" x14ac:dyDescent="0.2">
      <c r="A230" s="154">
        <f t="shared" si="221"/>
        <v>45242.4375</v>
      </c>
      <c r="B230" s="119" t="s">
        <v>307</v>
      </c>
      <c r="C230" s="154">
        <v>45242</v>
      </c>
      <c r="D230" s="119" t="s">
        <v>44</v>
      </c>
      <c r="E230" s="120">
        <v>1.3120000000000001</v>
      </c>
      <c r="F230" s="119">
        <v>473</v>
      </c>
      <c r="G230" s="130">
        <v>0.4375</v>
      </c>
      <c r="H230" s="121"/>
      <c r="I230" s="121"/>
      <c r="J230" s="121">
        <v>450.1</v>
      </c>
      <c r="K230" s="121">
        <v>456.21</v>
      </c>
      <c r="L230" s="121">
        <f t="shared" si="334"/>
        <v>-6.1099999999999568</v>
      </c>
      <c r="M230" s="122">
        <v>35.217399999999998</v>
      </c>
      <c r="N230" s="122">
        <v>18.271899999999999</v>
      </c>
      <c r="O230" s="123">
        <f t="shared" si="341"/>
        <v>25.13031595375719</v>
      </c>
      <c r="P230" s="123">
        <f t="shared" si="342"/>
        <v>13.111241922238037</v>
      </c>
      <c r="Q230" s="122">
        <f t="shared" si="343"/>
        <v>13.026033573265316</v>
      </c>
      <c r="R230" s="124">
        <f t="shared" si="344"/>
        <v>24.819742024943217</v>
      </c>
      <c r="S230" s="122">
        <f t="shared" si="345"/>
        <v>-7.8790215904703587E-2</v>
      </c>
      <c r="T230" s="119"/>
      <c r="U230" s="155">
        <f t="shared" ref="U230:U232" si="347">(O230-30.91)/1.03091</f>
        <v>-5.6063905154114426</v>
      </c>
      <c r="V230" s="119"/>
    </row>
    <row r="231" spans="1:22" s="101" customFormat="1" ht="15" customHeight="1" x14ac:dyDescent="0.2">
      <c r="A231" s="129">
        <f t="shared" si="221"/>
        <v>45242.486111111109</v>
      </c>
      <c r="B231" s="100" t="s">
        <v>308</v>
      </c>
      <c r="C231" s="129">
        <v>45242</v>
      </c>
      <c r="D231" s="100" t="s">
        <v>44</v>
      </c>
      <c r="E231" s="107">
        <v>1.518</v>
      </c>
      <c r="F231" s="100"/>
      <c r="G231" s="108">
        <v>0.4861111111111111</v>
      </c>
      <c r="H231" s="103"/>
      <c r="I231" s="103"/>
      <c r="J231" s="103">
        <v>453.98</v>
      </c>
      <c r="K231" s="103">
        <v>456.45</v>
      </c>
      <c r="L231" s="103">
        <f t="shared" si="334"/>
        <v>-2.4699999999999704</v>
      </c>
      <c r="M231" s="104">
        <v>31.717500000000001</v>
      </c>
      <c r="N231" s="104">
        <v>16.4862</v>
      </c>
      <c r="O231" s="105">
        <f t="shared" ref="O231:O232" si="348">((1000+M231)/$R$22)-1000</f>
        <v>21.66451872816333</v>
      </c>
      <c r="P231" s="105">
        <f t="shared" ref="P231:P232" si="349">((1000+N231)/$U$22)-1000</f>
        <v>11.334591948198295</v>
      </c>
      <c r="Q231" s="104">
        <f t="shared" ref="Q231:Q232" si="350">1000*(LN(P231/1000+1))</f>
        <v>11.270836767869916</v>
      </c>
      <c r="R231" s="106">
        <f t="shared" ref="R231:R232" si="351">1000*(LN(O231/1000+1))</f>
        <v>21.433178331065559</v>
      </c>
      <c r="S231" s="104">
        <f t="shared" ref="S231:S232" si="352">Q231-0.528*R231</f>
        <v>-4.5881390932699162E-2</v>
      </c>
      <c r="T231" s="100"/>
      <c r="U231" s="152">
        <f t="shared" si="347"/>
        <v>-8.9682719847869077</v>
      </c>
      <c r="V231" s="100"/>
    </row>
    <row r="232" spans="1:22" s="125" customFormat="1" ht="15" customHeight="1" x14ac:dyDescent="0.2">
      <c r="A232" s="154">
        <f t="shared" si="221"/>
        <v>45242.538194444445</v>
      </c>
      <c r="B232" s="119" t="s">
        <v>309</v>
      </c>
      <c r="C232" s="154">
        <v>45242</v>
      </c>
      <c r="D232" s="119" t="s">
        <v>44</v>
      </c>
      <c r="E232" s="120">
        <v>1.0669999999999999</v>
      </c>
      <c r="F232" s="119"/>
      <c r="G232" s="130">
        <v>0.53819444444444442</v>
      </c>
      <c r="H232" s="121"/>
      <c r="I232" s="121"/>
      <c r="J232" s="121">
        <v>454.23</v>
      </c>
      <c r="K232" s="121">
        <v>456.7</v>
      </c>
      <c r="L232" s="121">
        <f t="shared" si="334"/>
        <v>-2.4699999999999704</v>
      </c>
      <c r="M232" s="122">
        <v>34.668700000000001</v>
      </c>
      <c r="N232" s="122">
        <v>17.997199999999999</v>
      </c>
      <c r="O232" s="123">
        <f t="shared" si="348"/>
        <v>24.58696244717612</v>
      </c>
      <c r="P232" s="123">
        <f t="shared" si="349"/>
        <v>12.837934116969222</v>
      </c>
      <c r="Q232" s="122">
        <f t="shared" si="350"/>
        <v>12.756226403214688</v>
      </c>
      <c r="R232" s="124">
        <f t="shared" si="351"/>
        <v>24.289567912606781</v>
      </c>
      <c r="S232" s="122">
        <f t="shared" si="352"/>
        <v>-6.8665454641692492E-2</v>
      </c>
      <c r="T232" s="119"/>
      <c r="U232" s="155">
        <f t="shared" si="347"/>
        <v>-6.1334525349680185</v>
      </c>
      <c r="V232" s="119"/>
    </row>
    <row r="233" spans="1:22" s="101" customFormat="1" ht="15" customHeight="1" x14ac:dyDescent="0.2">
      <c r="A233" s="129">
        <f t="shared" si="221"/>
        <v>45242.645833333336</v>
      </c>
      <c r="B233" s="100" t="s">
        <v>310</v>
      </c>
      <c r="C233" s="129">
        <v>45242</v>
      </c>
      <c r="D233" s="100" t="s">
        <v>53</v>
      </c>
      <c r="E233" s="107">
        <v>1.26</v>
      </c>
      <c r="F233" s="100">
        <v>533</v>
      </c>
      <c r="G233" s="108">
        <v>0.64583333333333337</v>
      </c>
      <c r="H233" s="103"/>
      <c r="I233" s="103"/>
      <c r="J233" s="103">
        <v>454.53</v>
      </c>
      <c r="K233" s="103">
        <v>456.49</v>
      </c>
      <c r="L233" s="103">
        <f t="shared" si="334"/>
        <v>-1.9600000000000364</v>
      </c>
      <c r="M233" s="104">
        <v>31.618600000000001</v>
      </c>
      <c r="N233" s="104">
        <v>16.425899999999999</v>
      </c>
      <c r="O233" s="105">
        <f t="shared" ref="O233" si="353">((1000+M233)/$R$22)-1000</f>
        <v>21.566582402665063</v>
      </c>
      <c r="P233" s="105">
        <f t="shared" ref="P233" si="354">((1000+N233)/$U$22)-1000</f>
        <v>11.274597551919669</v>
      </c>
      <c r="Q233" s="104">
        <f t="shared" ref="Q233" si="355">1000*(LN(P233/1000+1))</f>
        <v>11.211513002698174</v>
      </c>
      <c r="R233" s="106">
        <f t="shared" ref="R233" si="356">1000*(LN(O233/1000+1))</f>
        <v>21.337314162279871</v>
      </c>
      <c r="S233" s="104">
        <f t="shared" ref="S233" si="357">Q233-0.528*R233</f>
        <v>-5.4588874985597613E-2</v>
      </c>
      <c r="T233" s="100"/>
      <c r="U233" s="152">
        <f t="shared" ref="U233" si="358">(O233-30.91)/1.03091</f>
        <v>-9.0632718640181373</v>
      </c>
      <c r="V233" s="100"/>
    </row>
    <row r="234" spans="1:22" ht="15" customHeight="1" x14ac:dyDescent="0.2">
      <c r="A234" s="62">
        <f t="shared" si="221"/>
        <v>45242.697916666664</v>
      </c>
      <c r="B234" s="47" t="s">
        <v>311</v>
      </c>
      <c r="C234" s="62">
        <v>45242</v>
      </c>
      <c r="D234" s="47" t="s">
        <v>53</v>
      </c>
      <c r="E234" s="48">
        <v>3.5910000000000002</v>
      </c>
      <c r="F234" s="47">
        <v>10</v>
      </c>
      <c r="G234" s="67">
        <v>0.69791666666666663</v>
      </c>
      <c r="H234" s="49"/>
      <c r="I234" s="49"/>
      <c r="J234" s="49"/>
      <c r="K234" s="49"/>
      <c r="L234" s="49"/>
      <c r="M234" s="63"/>
      <c r="N234" s="63"/>
      <c r="O234" s="47"/>
      <c r="P234" s="47"/>
      <c r="Q234" s="47"/>
      <c r="R234" s="51"/>
      <c r="S234" s="47"/>
      <c r="T234" s="47"/>
      <c r="U234" s="51"/>
      <c r="V234" s="47" t="s">
        <v>312</v>
      </c>
    </row>
    <row r="235" spans="1:22" s="101" customFormat="1" ht="15" customHeight="1" x14ac:dyDescent="0.2">
      <c r="A235" s="129">
        <f t="shared" si="221"/>
        <v>45242.704861111109</v>
      </c>
      <c r="B235" s="100" t="s">
        <v>313</v>
      </c>
      <c r="C235" s="129">
        <v>45242</v>
      </c>
      <c r="D235" s="100" t="s">
        <v>53</v>
      </c>
      <c r="E235" s="107">
        <v>1.042</v>
      </c>
      <c r="F235" s="100">
        <v>634</v>
      </c>
      <c r="G235" s="108">
        <v>0.70486111111111116</v>
      </c>
      <c r="H235" s="103"/>
      <c r="I235" s="103"/>
      <c r="J235" s="103">
        <v>454.09</v>
      </c>
      <c r="K235" s="103">
        <v>456.56</v>
      </c>
      <c r="L235" s="103">
        <f t="shared" si="334"/>
        <v>-2.4700000000000273</v>
      </c>
      <c r="M235" s="104">
        <v>31.933700000000002</v>
      </c>
      <c r="N235" s="104">
        <v>16.475200000000001</v>
      </c>
      <c r="O235" s="105">
        <f t="shared" ref="O235:O236" si="359">((1000+M235)/$R$22)-1000</f>
        <v>21.878612090880438</v>
      </c>
      <c r="P235" s="105">
        <f t="shared" ref="P235:P236" si="360">((1000+N235)/$U$22)-1000</f>
        <v>11.323647696804073</v>
      </c>
      <c r="Q235" s="104">
        <f t="shared" ref="Q235:Q236" si="361">1000*(LN(P235/1000+1))</f>
        <v>11.260015116263508</v>
      </c>
      <c r="R235" s="106">
        <f t="shared" ref="R235:R236" si="362">1000*(LN(O235/1000+1))</f>
        <v>21.642709865068003</v>
      </c>
      <c r="S235" s="104">
        <f t="shared" ref="S235:S236" si="363">Q235-0.528*R235</f>
        <v>-0.16733569249239721</v>
      </c>
      <c r="T235" s="100"/>
      <c r="U235" s="152">
        <f t="shared" ref="U235:U236" si="364">(O235-30.91)/1.03091</f>
        <v>-8.7605978301884377</v>
      </c>
      <c r="V235" s="100" t="s">
        <v>314</v>
      </c>
    </row>
    <row r="236" spans="1:22" s="125" customFormat="1" ht="15" customHeight="1" x14ac:dyDescent="0.2">
      <c r="A236" s="154">
        <f t="shared" si="221"/>
        <v>45242.756944444445</v>
      </c>
      <c r="B236" s="119" t="s">
        <v>315</v>
      </c>
      <c r="C236" s="154">
        <v>45242</v>
      </c>
      <c r="D236" s="119" t="s">
        <v>53</v>
      </c>
      <c r="E236" s="120">
        <v>1.3220000000000001</v>
      </c>
      <c r="F236" s="119">
        <v>565</v>
      </c>
      <c r="G236" s="130">
        <v>0.75694444444444453</v>
      </c>
      <c r="H236" s="121"/>
      <c r="I236" s="121"/>
      <c r="J236" s="121">
        <v>454.82</v>
      </c>
      <c r="K236" s="121">
        <v>456.7</v>
      </c>
      <c r="L236" s="121">
        <f t="shared" si="334"/>
        <v>-1.8799999999999955</v>
      </c>
      <c r="M236" s="122">
        <v>34.960099999999997</v>
      </c>
      <c r="N236" s="122">
        <v>18.185400000000001</v>
      </c>
      <c r="O236" s="123">
        <f t="shared" si="359"/>
        <v>24.875523066490359</v>
      </c>
      <c r="P236" s="123">
        <f t="shared" si="360"/>
        <v>13.025180309002621</v>
      </c>
      <c r="Q236" s="122">
        <f t="shared" si="361"/>
        <v>12.941082123458775</v>
      </c>
      <c r="R236" s="124">
        <f t="shared" si="362"/>
        <v>24.571164305085901</v>
      </c>
      <c r="S236" s="122">
        <f t="shared" si="363"/>
        <v>-3.2492629626581504E-2</v>
      </c>
      <c r="T236" s="119"/>
      <c r="U236" s="155">
        <f t="shared" si="364"/>
        <v>-5.85354389181368</v>
      </c>
      <c r="V236" s="119"/>
    </row>
    <row r="237" spans="1:22" s="101" customFormat="1" ht="15" customHeight="1" x14ac:dyDescent="0.2">
      <c r="A237" s="129">
        <f t="shared" si="221"/>
        <v>45242.809027777781</v>
      </c>
      <c r="B237" s="100" t="s">
        <v>316</v>
      </c>
      <c r="C237" s="129">
        <v>45242</v>
      </c>
      <c r="D237" s="100" t="s">
        <v>53</v>
      </c>
      <c r="E237" s="107">
        <v>1.1419999999999999</v>
      </c>
      <c r="F237" s="100">
        <v>504</v>
      </c>
      <c r="G237" s="108">
        <v>0.80902777777777779</v>
      </c>
      <c r="H237" s="103"/>
      <c r="I237" s="103"/>
      <c r="J237" s="103">
        <v>454.36</v>
      </c>
      <c r="K237" s="103">
        <v>456.61</v>
      </c>
      <c r="L237" s="103">
        <f t="shared" si="334"/>
        <v>-2.25</v>
      </c>
      <c r="M237" s="104">
        <v>31.0672</v>
      </c>
      <c r="N237" s="104">
        <v>16.1572</v>
      </c>
      <c r="O237" s="105">
        <f t="shared" ref="O237:O238" si="365">((1000+M237)/$R$22)-1000</f>
        <v>21.02055520469014</v>
      </c>
      <c r="P237" s="105">
        <f t="shared" ref="P237:P238" si="366">((1000+N237)/$U$22)-1000</f>
        <v>11.007259338320182</v>
      </c>
      <c r="Q237" s="104">
        <f t="shared" ref="Q237:Q238" si="367">1000*(LN(P237/1000+1))</f>
        <v>10.947120366977247</v>
      </c>
      <c r="R237" s="106">
        <f t="shared" ref="R237:R238" si="368">1000*(LN(O237/1000+1))</f>
        <v>20.802671403664419</v>
      </c>
      <c r="S237" s="104">
        <f t="shared" ref="S237:S238" si="369">Q237-0.528*R237</f>
        <v>-3.6690134157566945E-2</v>
      </c>
      <c r="T237" s="100"/>
      <c r="U237" s="152">
        <f t="shared" ref="U237:U238" si="370">(O237-30.91)/1.03091</f>
        <v>-9.5929274090947416</v>
      </c>
      <c r="V237" s="100"/>
    </row>
    <row r="238" spans="1:22" s="125" customFormat="1" ht="15" customHeight="1" x14ac:dyDescent="0.2">
      <c r="A238" s="154">
        <f t="shared" si="221"/>
        <v>45242.913194444445</v>
      </c>
      <c r="B238" s="119" t="s">
        <v>317</v>
      </c>
      <c r="C238" s="154">
        <v>45242</v>
      </c>
      <c r="D238" s="119" t="s">
        <v>53</v>
      </c>
      <c r="E238" s="120">
        <v>2.0910000000000002</v>
      </c>
      <c r="F238" s="119">
        <v>765</v>
      </c>
      <c r="G238" s="130">
        <v>0.91319444444444453</v>
      </c>
      <c r="H238" s="121"/>
      <c r="I238" s="121"/>
      <c r="J238" s="121">
        <v>452.63</v>
      </c>
      <c r="K238" s="121">
        <v>456.42</v>
      </c>
      <c r="L238" s="121">
        <f t="shared" si="334"/>
        <v>-3.7900000000000205</v>
      </c>
      <c r="M238" s="122">
        <v>35.195799999999998</v>
      </c>
      <c r="N238" s="122">
        <v>18.286999999999999</v>
      </c>
      <c r="O238" s="123">
        <f t="shared" si="365"/>
        <v>25.108926422606828</v>
      </c>
      <c r="P238" s="123">
        <f t="shared" si="366"/>
        <v>13.126265394606435</v>
      </c>
      <c r="Q238" s="122">
        <f t="shared" si="367"/>
        <v>13.040862508485787</v>
      </c>
      <c r="R238" s="124">
        <f t="shared" si="368"/>
        <v>24.798876624740966</v>
      </c>
      <c r="S238" s="122">
        <f t="shared" si="369"/>
        <v>-5.2944349377442634E-2</v>
      </c>
      <c r="T238" s="119"/>
      <c r="U238" s="155">
        <f t="shared" si="370"/>
        <v>-5.6271387195712252</v>
      </c>
      <c r="V238" s="119"/>
    </row>
    <row r="239" spans="1:22" s="101" customFormat="1" ht="15" customHeight="1" x14ac:dyDescent="0.2">
      <c r="A239" s="129">
        <f t="shared" si="221"/>
        <v>45242.96875</v>
      </c>
      <c r="B239" s="100" t="s">
        <v>318</v>
      </c>
      <c r="C239" s="129">
        <v>45242</v>
      </c>
      <c r="D239" s="100" t="s">
        <v>96</v>
      </c>
      <c r="E239" s="107">
        <v>1.0549999999999999</v>
      </c>
      <c r="F239" s="100">
        <v>493</v>
      </c>
      <c r="G239" s="108">
        <v>0.96875</v>
      </c>
      <c r="H239" s="103"/>
      <c r="I239" s="103"/>
      <c r="J239" s="103">
        <v>451.59</v>
      </c>
      <c r="K239" s="103">
        <v>455.96</v>
      </c>
      <c r="L239" s="103">
        <f t="shared" si="334"/>
        <v>-4.3700000000000045</v>
      </c>
      <c r="M239" s="104">
        <v>31.476199999999999</v>
      </c>
      <c r="N239" s="104">
        <v>16.291599999999999</v>
      </c>
      <c r="O239" s="105">
        <f t="shared" ref="O239:O246" si="371">((1000+M239)/$R$22)-1000</f>
        <v>21.425569938044873</v>
      </c>
      <c r="P239" s="105">
        <f t="shared" ref="P239:P246" si="372">((1000+N239)/$U$22)-1000</f>
        <v>11.140978191717181</v>
      </c>
      <c r="Q239" s="104">
        <f t="shared" ref="Q239:Q240" si="373">1000*(LN(P239/1000+1))</f>
        <v>11.079374621250127</v>
      </c>
      <c r="R239" s="106">
        <f t="shared" ref="R239:R240" si="374">1000*(LN(O239/1000+1))</f>
        <v>21.1992691240916</v>
      </c>
      <c r="S239" s="104">
        <f t="shared" ref="S239:S240" si="375">Q239-0.528*R239</f>
        <v>-0.11383947627023971</v>
      </c>
      <c r="T239" s="100"/>
      <c r="U239" s="152">
        <f t="shared" ref="U239:U241" si="376">(O239-30.91)/1.03091</f>
        <v>-9.2000563210708286</v>
      </c>
      <c r="V239" s="100"/>
    </row>
    <row r="240" spans="1:22" s="125" customFormat="1" ht="15" customHeight="1" x14ac:dyDescent="0.2">
      <c r="A240" s="154">
        <f t="shared" si="221"/>
        <v>45243.020833333336</v>
      </c>
      <c r="B240" s="119" t="s">
        <v>319</v>
      </c>
      <c r="C240" s="154">
        <v>45243</v>
      </c>
      <c r="D240" s="119" t="s">
        <v>96</v>
      </c>
      <c r="E240" s="120">
        <v>1.04</v>
      </c>
      <c r="F240" s="119">
        <v>545</v>
      </c>
      <c r="G240" s="130">
        <v>2.0833333333333332E-2</v>
      </c>
      <c r="H240" s="121"/>
      <c r="I240" s="121"/>
      <c r="J240" s="121">
        <v>452.75</v>
      </c>
      <c r="K240" s="121">
        <v>456.21</v>
      </c>
      <c r="L240" s="121">
        <f t="shared" si="334"/>
        <v>-3.4599999999999795</v>
      </c>
      <c r="M240" s="122">
        <v>34.714100000000002</v>
      </c>
      <c r="N240" s="122">
        <v>18.0321</v>
      </c>
      <c r="O240" s="123">
        <f t="shared" si="371"/>
        <v>24.631920072834419</v>
      </c>
      <c r="P240" s="123">
        <f t="shared" si="372"/>
        <v>12.872657241846809</v>
      </c>
      <c r="Q240" s="122">
        <f t="shared" si="373"/>
        <v>12.790508817522953</v>
      </c>
      <c r="R240" s="124">
        <f t="shared" si="374"/>
        <v>24.333445729709641</v>
      </c>
      <c r="S240" s="122">
        <f t="shared" si="375"/>
        <v>-5.7550527763737591E-2</v>
      </c>
      <c r="T240" s="119"/>
      <c r="U240" s="155">
        <f t="shared" si="376"/>
        <v>-6.0898428836325014</v>
      </c>
      <c r="V240" s="119"/>
    </row>
    <row r="241" spans="1:22" s="101" customFormat="1" ht="15" customHeight="1" x14ac:dyDescent="0.2">
      <c r="A241" s="129">
        <f t="shared" si="221"/>
        <v>45243.083333333336</v>
      </c>
      <c r="B241" s="100" t="s">
        <v>320</v>
      </c>
      <c r="C241" s="129">
        <v>45243</v>
      </c>
      <c r="D241" s="100" t="s">
        <v>321</v>
      </c>
      <c r="E241" s="107">
        <v>1.3049999999999999</v>
      </c>
      <c r="F241" s="100">
        <v>486</v>
      </c>
      <c r="G241" s="108">
        <v>8.3333333333333329E-2</v>
      </c>
      <c r="H241" s="103"/>
      <c r="I241" s="103"/>
      <c r="J241" s="103">
        <v>451.2</v>
      </c>
      <c r="K241" s="103">
        <v>456.12</v>
      </c>
      <c r="L241" s="103">
        <f t="shared" si="334"/>
        <v>-4.9200000000000159</v>
      </c>
      <c r="M241" s="104">
        <v>31.1646</v>
      </c>
      <c r="N241" s="104">
        <v>16.187200000000001</v>
      </c>
      <c r="O241" s="105">
        <f t="shared" si="371"/>
        <v>21.117006146080826</v>
      </c>
      <c r="P241" s="105">
        <f t="shared" si="372"/>
        <v>11.037107296667727</v>
      </c>
      <c r="Q241" s="104">
        <f t="shared" ref="Q241:Q243" si="377">1000*(LN(P241/1000+1))</f>
        <v>10.976642922310131</v>
      </c>
      <c r="R241" s="106">
        <f t="shared" ref="R241:R243" si="378">1000*(LN(O241/1000+1))</f>
        <v>20.897132171918141</v>
      </c>
      <c r="S241" s="104">
        <f t="shared" ref="S241:S243" si="379">Q241-0.528*R241</f>
        <v>-5.7042864462648168E-2</v>
      </c>
      <c r="T241" s="100"/>
      <c r="U241" s="152">
        <f t="shared" si="376"/>
        <v>-9.4993683773745285</v>
      </c>
      <c r="V241" s="100"/>
    </row>
    <row r="242" spans="1:22" s="125" customFormat="1" ht="15" customHeight="1" x14ac:dyDescent="0.2">
      <c r="A242" s="154">
        <f t="shared" si="221"/>
        <v>45243.1875</v>
      </c>
      <c r="B242" s="119" t="s">
        <v>322</v>
      </c>
      <c r="C242" s="154">
        <v>45243</v>
      </c>
      <c r="D242" s="119" t="s">
        <v>41</v>
      </c>
      <c r="E242" s="120">
        <v>1.2729999999999999</v>
      </c>
      <c r="F242" s="119">
        <v>651</v>
      </c>
      <c r="G242" s="130">
        <v>0.1875</v>
      </c>
      <c r="H242" s="121"/>
      <c r="I242" s="121"/>
      <c r="J242" s="121">
        <v>453.53</v>
      </c>
      <c r="K242" s="121">
        <v>456.17</v>
      </c>
      <c r="L242" s="121">
        <f t="shared" si="334"/>
        <v>-2.6400000000000432</v>
      </c>
      <c r="M242" s="122">
        <v>34.768999999999998</v>
      </c>
      <c r="N242" s="122">
        <v>18.007899999999999</v>
      </c>
      <c r="O242" s="123">
        <f t="shared" si="371"/>
        <v>24.686285131174827</v>
      </c>
      <c r="P242" s="123">
        <f t="shared" si="372"/>
        <v>12.848579888779796</v>
      </c>
      <c r="Q242" s="122">
        <f t="shared" si="377"/>
        <v>12.766737182387109</v>
      </c>
      <c r="R242" s="124">
        <f t="shared" si="378"/>
        <v>24.386502456786133</v>
      </c>
      <c r="S242" s="122">
        <f t="shared" si="379"/>
        <v>-0.10933611479596905</v>
      </c>
      <c r="T242" s="119"/>
      <c r="U242" s="155">
        <f t="shared" ref="U242:U243" si="380">(O242-30.91)/1.03091</f>
        <v>-6.0371078647264778</v>
      </c>
      <c r="V242" s="119"/>
    </row>
    <row r="243" spans="1:22" s="101" customFormat="1" ht="15" customHeight="1" x14ac:dyDescent="0.2">
      <c r="A243" s="129">
        <f t="shared" si="221"/>
        <v>45243.239583333336</v>
      </c>
      <c r="B243" s="100" t="s">
        <v>323</v>
      </c>
      <c r="C243" s="129">
        <v>45243</v>
      </c>
      <c r="D243" s="100" t="s">
        <v>41</v>
      </c>
      <c r="E243" s="107">
        <v>1.617</v>
      </c>
      <c r="F243" s="100">
        <v>763</v>
      </c>
      <c r="G243" s="108">
        <v>0.23958333333333334</v>
      </c>
      <c r="H243" s="103"/>
      <c r="I243" s="103"/>
      <c r="J243" s="103">
        <v>453.93</v>
      </c>
      <c r="K243" s="103">
        <v>456.01</v>
      </c>
      <c r="L243" s="103">
        <f t="shared" si="334"/>
        <v>-2.0799999999999841</v>
      </c>
      <c r="M243" s="104">
        <v>32.141500000000001</v>
      </c>
      <c r="N243" s="104">
        <v>16.670100000000001</v>
      </c>
      <c r="O243" s="105">
        <f t="shared" si="371"/>
        <v>22.08438730259445</v>
      </c>
      <c r="P243" s="105">
        <f t="shared" si="372"/>
        <v>11.517559932868721</v>
      </c>
      <c r="Q243" s="104">
        <f t="shared" si="377"/>
        <v>11.451737764514061</v>
      </c>
      <c r="R243" s="106">
        <f t="shared" si="378"/>
        <v>21.844059118914775</v>
      </c>
      <c r="S243" s="104">
        <f t="shared" si="379"/>
        <v>-8.1925450272940736E-2</v>
      </c>
      <c r="T243" s="100"/>
      <c r="U243" s="152">
        <f t="shared" si="380"/>
        <v>-8.5609924216522781</v>
      </c>
      <c r="V243" s="100"/>
    </row>
    <row r="244" spans="1:22" s="125" customFormat="1" ht="15" customHeight="1" x14ac:dyDescent="0.2">
      <c r="A244" s="154">
        <f t="shared" si="221"/>
        <v>45243.291666666664</v>
      </c>
      <c r="B244" s="119" t="s">
        <v>324</v>
      </c>
      <c r="C244" s="154">
        <v>45243</v>
      </c>
      <c r="D244" s="119" t="s">
        <v>44</v>
      </c>
      <c r="E244" s="120">
        <v>1.25</v>
      </c>
      <c r="F244" s="119">
        <v>465</v>
      </c>
      <c r="G244" s="130">
        <v>0.29166666666666669</v>
      </c>
      <c r="H244" s="121">
        <v>12.5</v>
      </c>
      <c r="I244" s="121"/>
      <c r="J244" s="121">
        <v>449.38</v>
      </c>
      <c r="K244" s="121">
        <v>456.12</v>
      </c>
      <c r="L244" s="121">
        <f t="shared" si="334"/>
        <v>-6.7400000000000091</v>
      </c>
      <c r="M244" s="122">
        <v>33.987499999999997</v>
      </c>
      <c r="N244" s="122">
        <v>17.672699999999999</v>
      </c>
      <c r="O244" s="123">
        <f t="shared" si="371"/>
        <v>23.912400011085083</v>
      </c>
      <c r="P244" s="123">
        <f t="shared" si="372"/>
        <v>12.515078700843219</v>
      </c>
      <c r="Q244" s="122">
        <f t="shared" ref="Q244" si="381">1000*(LN(P244/1000+1))</f>
        <v>12.437412431707015</v>
      </c>
      <c r="R244" s="124">
        <f t="shared" ref="R244" si="382">1000*(LN(O244/1000+1))</f>
        <v>23.630976093799628</v>
      </c>
      <c r="S244" s="122">
        <f t="shared" ref="S244" si="383">Q244-0.528*R244</f>
        <v>-3.9742945819188691E-2</v>
      </c>
      <c r="T244" s="119"/>
      <c r="U244" s="155">
        <f t="shared" ref="U244" si="384">(O244-30.91)/1.03091</f>
        <v>-6.7877894180044009</v>
      </c>
      <c r="V244" s="119"/>
    </row>
    <row r="245" spans="1:22" s="101" customFormat="1" ht="15" customHeight="1" x14ac:dyDescent="0.2">
      <c r="A245" s="129">
        <f t="shared" si="221"/>
        <v>45243.347222222219</v>
      </c>
      <c r="B245" s="100" t="s">
        <v>325</v>
      </c>
      <c r="C245" s="129">
        <v>45243</v>
      </c>
      <c r="D245" s="100" t="s">
        <v>44</v>
      </c>
      <c r="E245" s="107">
        <v>1.482</v>
      </c>
      <c r="F245" s="100">
        <v>577</v>
      </c>
      <c r="G245" s="108">
        <v>0.34722222222222227</v>
      </c>
      <c r="H245" s="103"/>
      <c r="I245" s="103"/>
      <c r="J245" s="103">
        <v>453.41</v>
      </c>
      <c r="K245" s="103">
        <v>456.21</v>
      </c>
      <c r="L245" s="103">
        <f t="shared" si="334"/>
        <v>-2.7999999999999545</v>
      </c>
      <c r="M245" s="104">
        <v>31.7576</v>
      </c>
      <c r="N245" s="104">
        <v>16.511099999999999</v>
      </c>
      <c r="O245" s="105">
        <f t="shared" si="371"/>
        <v>21.704227996641293</v>
      </c>
      <c r="P245" s="105">
        <f t="shared" si="372"/>
        <v>11.359365753626662</v>
      </c>
      <c r="Q245" s="104">
        <f t="shared" ref="Q245" si="385">1000*(LN(P245/1000+1))</f>
        <v>11.295332619390441</v>
      </c>
      <c r="R245" s="106">
        <f t="shared" ref="R245" si="386">1000*(LN(O245/1000+1))</f>
        <v>21.47204480442872</v>
      </c>
      <c r="S245" s="104">
        <f t="shared" ref="S245" si="387">Q245-0.528*R245</f>
        <v>-4.1907037347924003E-2</v>
      </c>
      <c r="T245" s="100"/>
      <c r="U245" s="152">
        <f t="shared" ref="U245" si="388">(O245-30.91)/1.03091</f>
        <v>-8.9297533279905199</v>
      </c>
      <c r="V245" s="100"/>
    </row>
    <row r="246" spans="1:22" s="125" customFormat="1" ht="15" customHeight="1" x14ac:dyDescent="0.2">
      <c r="A246" s="154">
        <f t="shared" si="221"/>
        <v>45243.46875</v>
      </c>
      <c r="B246" s="119" t="s">
        <v>326</v>
      </c>
      <c r="C246" s="154">
        <v>45243</v>
      </c>
      <c r="D246" s="119" t="s">
        <v>44</v>
      </c>
      <c r="E246" s="120">
        <v>1.093</v>
      </c>
      <c r="F246" s="119"/>
      <c r="G246" s="130">
        <v>0.46875</v>
      </c>
      <c r="H246" s="121"/>
      <c r="I246" s="121"/>
      <c r="J246" s="121">
        <v>454.77</v>
      </c>
      <c r="K246" s="121">
        <v>456.82</v>
      </c>
      <c r="L246" s="121">
        <f t="shared" si="334"/>
        <v>-2.0500000000000114</v>
      </c>
      <c r="M246" s="122">
        <v>34.726900000000001</v>
      </c>
      <c r="N246" s="122">
        <v>17.9999</v>
      </c>
      <c r="O246" s="123">
        <f t="shared" si="371"/>
        <v>24.644595350553345</v>
      </c>
      <c r="P246" s="123">
        <f t="shared" si="372"/>
        <v>12.840620433220465</v>
      </c>
      <c r="Q246" s="122">
        <f t="shared" ref="Q246" si="389">1000*(LN(P246/1000+1))</f>
        <v>12.758878666324438</v>
      </c>
      <c r="R246" s="124">
        <f t="shared" ref="R246" si="390">1000*(LN(O246/1000+1))</f>
        <v>24.345816220098556</v>
      </c>
      <c r="S246" s="122">
        <f t="shared" ref="S246" si="391">Q246-0.528*R246</f>
        <v>-9.5712297887599718E-2</v>
      </c>
      <c r="T246" s="119"/>
      <c r="U246" s="155">
        <f t="shared" ref="U246" si="392">(O246-30.91)/1.03091</f>
        <v>-6.0775476515376265</v>
      </c>
      <c r="V246" s="119"/>
    </row>
    <row r="247" spans="1:22" s="101" customFormat="1" ht="15" customHeight="1" x14ac:dyDescent="0.2">
      <c r="A247" s="129">
        <f t="shared" si="221"/>
        <v>45243.555555555555</v>
      </c>
      <c r="B247" s="100" t="s">
        <v>327</v>
      </c>
      <c r="C247" s="129">
        <v>45243</v>
      </c>
      <c r="D247" s="100" t="s">
        <v>328</v>
      </c>
      <c r="E247" s="107">
        <v>1.087</v>
      </c>
      <c r="F247" s="100" t="s">
        <v>329</v>
      </c>
      <c r="G247" s="108">
        <v>0.55555555555555558</v>
      </c>
      <c r="H247" s="103"/>
      <c r="I247" s="103"/>
      <c r="J247" s="103">
        <v>453.25</v>
      </c>
      <c r="K247" s="103">
        <v>456.9</v>
      </c>
      <c r="L247" s="103">
        <f t="shared" si="334"/>
        <v>-3.6499999999999773</v>
      </c>
      <c r="M247" s="104">
        <v>30.194700000000001</v>
      </c>
      <c r="N247" s="104">
        <v>15.712899999999999</v>
      </c>
      <c r="O247" s="105">
        <f t="shared" ref="O247" si="393">((1000+M247)/$R$22)-1000</f>
        <v>20.156556782069288</v>
      </c>
      <c r="P247" s="105">
        <f t="shared" ref="P247" si="394">((1000+N247)/$U$22)-1000</f>
        <v>10.565211075193247</v>
      </c>
      <c r="Q247" s="104">
        <f t="shared" ref="Q247" si="395">1000*(LN(P247/1000+1))</f>
        <v>10.509789253062822</v>
      </c>
      <c r="R247" s="106">
        <f t="shared" ref="R247" si="396">1000*(LN(O247/1000+1))</f>
        <v>19.95610255949325</v>
      </c>
      <c r="S247" s="104">
        <f t="shared" ref="S247" si="397">Q247-0.528*R247</f>
        <v>-2.7032898349613532E-2</v>
      </c>
      <c r="T247" s="100"/>
      <c r="U247" s="152">
        <f t="shared" ref="U247:U250" si="398">(O247-30.91)/1.03091</f>
        <v>-10.431020378045332</v>
      </c>
      <c r="V247" s="100"/>
    </row>
    <row r="248" spans="1:22" ht="15" customHeight="1" x14ac:dyDescent="0.2">
      <c r="A248" s="62">
        <f t="shared" ref="A248:A299" si="399">C248+G248</f>
        <v>45243.645833333336</v>
      </c>
      <c r="B248" s="47" t="s">
        <v>330</v>
      </c>
      <c r="C248" s="62">
        <v>45243</v>
      </c>
      <c r="D248" s="47" t="s">
        <v>83</v>
      </c>
      <c r="E248" s="48">
        <v>2.9289999999999998</v>
      </c>
      <c r="F248" s="47">
        <v>390</v>
      </c>
      <c r="G248" s="67">
        <v>0.64583333333333337</v>
      </c>
      <c r="H248" s="49" t="s">
        <v>97</v>
      </c>
      <c r="I248" s="49"/>
      <c r="J248" s="49"/>
      <c r="K248" s="49"/>
      <c r="L248" s="49"/>
      <c r="M248" s="63"/>
      <c r="N248" s="63"/>
      <c r="O248" s="50"/>
      <c r="P248" s="50"/>
      <c r="Q248" s="63"/>
      <c r="R248" s="93"/>
      <c r="S248" s="63"/>
      <c r="T248" s="47"/>
      <c r="U248" s="150">
        <f t="shared" si="398"/>
        <v>-29.983218709683676</v>
      </c>
      <c r="V248" s="47"/>
    </row>
    <row r="249" spans="1:22" ht="15" customHeight="1" x14ac:dyDescent="0.2">
      <c r="A249" s="62">
        <f t="shared" si="399"/>
        <v>45243.666666666664</v>
      </c>
      <c r="B249" s="47" t="s">
        <v>331</v>
      </c>
      <c r="C249" s="62">
        <v>45243</v>
      </c>
      <c r="D249" s="47" t="s">
        <v>96</v>
      </c>
      <c r="E249" s="48">
        <v>1.4650000000000001</v>
      </c>
      <c r="F249" s="47">
        <v>188</v>
      </c>
      <c r="G249" s="67">
        <v>0.66666666666666663</v>
      </c>
      <c r="H249" s="49" t="s">
        <v>97</v>
      </c>
      <c r="I249" s="49"/>
      <c r="J249" s="49"/>
      <c r="K249" s="49"/>
      <c r="L249" s="49"/>
      <c r="M249" s="63"/>
      <c r="N249" s="63"/>
      <c r="O249" s="50"/>
      <c r="P249" s="50"/>
      <c r="Q249" s="63"/>
      <c r="R249" s="93"/>
      <c r="S249" s="63"/>
      <c r="T249" s="47"/>
      <c r="U249" s="150">
        <f t="shared" si="398"/>
        <v>-29.983218709683676</v>
      </c>
      <c r="V249" s="47"/>
    </row>
    <row r="250" spans="1:22" ht="15" customHeight="1" x14ac:dyDescent="0.2">
      <c r="A250" s="62">
        <f t="shared" si="399"/>
        <v>45243.708333333336</v>
      </c>
      <c r="B250" s="47" t="s">
        <v>332</v>
      </c>
      <c r="C250" s="62">
        <v>45243</v>
      </c>
      <c r="D250" s="47" t="s">
        <v>96</v>
      </c>
      <c r="E250" s="48"/>
      <c r="F250" s="47">
        <v>480</v>
      </c>
      <c r="G250" s="67">
        <v>0.70833333333333337</v>
      </c>
      <c r="H250" s="49"/>
      <c r="I250" s="49"/>
      <c r="J250" s="49"/>
      <c r="K250" s="49"/>
      <c r="L250" s="49"/>
      <c r="M250" s="63"/>
      <c r="N250" s="63"/>
      <c r="O250" s="50"/>
      <c r="P250" s="50"/>
      <c r="Q250" s="63"/>
      <c r="R250" s="93"/>
      <c r="S250" s="63"/>
      <c r="T250" s="47"/>
      <c r="U250" s="150">
        <f t="shared" si="398"/>
        <v>-29.983218709683676</v>
      </c>
      <c r="V250" s="47"/>
    </row>
    <row r="251" spans="1:22" ht="15" customHeight="1" x14ac:dyDescent="0.2">
      <c r="A251" s="62">
        <f t="shared" si="399"/>
        <v>45243.78125</v>
      </c>
      <c r="B251" s="47" t="s">
        <v>333</v>
      </c>
      <c r="C251" s="62">
        <v>45243</v>
      </c>
      <c r="D251" s="47" t="s">
        <v>96</v>
      </c>
      <c r="E251" s="48">
        <v>1.113</v>
      </c>
      <c r="F251" s="47">
        <v>51</v>
      </c>
      <c r="G251" s="67">
        <v>0.78125</v>
      </c>
      <c r="H251" s="49" t="s">
        <v>97</v>
      </c>
      <c r="I251" s="49"/>
      <c r="J251" s="47"/>
      <c r="K251" s="47"/>
      <c r="L251" s="47"/>
      <c r="M251" s="47"/>
      <c r="N251" s="47"/>
      <c r="O251" s="47"/>
      <c r="P251" s="47"/>
      <c r="Q251" s="47"/>
      <c r="R251" s="47"/>
      <c r="S251" s="47"/>
      <c r="T251" s="47"/>
      <c r="U251" s="47"/>
      <c r="V251" s="47"/>
    </row>
    <row r="252" spans="1:22" s="101" customFormat="1" ht="15" customHeight="1" x14ac:dyDescent="0.2">
      <c r="A252" s="129">
        <f t="shared" si="399"/>
        <v>45243.791666666664</v>
      </c>
      <c r="B252" s="100" t="s">
        <v>334</v>
      </c>
      <c r="C252" s="129">
        <v>45243</v>
      </c>
      <c r="D252" s="100" t="s">
        <v>96</v>
      </c>
      <c r="E252" s="107">
        <v>2.169</v>
      </c>
      <c r="F252" s="100">
        <v>585</v>
      </c>
      <c r="G252" s="108">
        <v>0.79166666666666663</v>
      </c>
      <c r="H252" s="103"/>
      <c r="I252" s="103"/>
      <c r="J252" s="103">
        <v>455.29</v>
      </c>
      <c r="K252" s="103">
        <v>456.81</v>
      </c>
      <c r="L252" s="103">
        <f t="shared" ref="L252:L260" si="400">J252-K252</f>
        <v>-1.5199999999999818</v>
      </c>
      <c r="M252" s="104">
        <v>30.4666</v>
      </c>
      <c r="N252" s="104">
        <v>15.745900000000001</v>
      </c>
      <c r="O252" s="105">
        <f t="shared" ref="O252" si="401">((1000+M252)/$R$22)-1000</f>
        <v>20.425807407984053</v>
      </c>
      <c r="P252" s="105">
        <f t="shared" ref="P252" si="402">((1000+N252)/$U$22)-1000</f>
        <v>10.59804382937557</v>
      </c>
      <c r="Q252" s="104">
        <f t="shared" ref="Q252" si="403">1000*(LN(P252/1000+1))</f>
        <v>10.542278221092026</v>
      </c>
      <c r="R252" s="106">
        <f t="shared" ref="R252" si="404">1000*(LN(O252/1000+1))</f>
        <v>20.2199984278516</v>
      </c>
      <c r="S252" s="104">
        <f t="shared" ref="S252" si="405">Q252-0.528*R252</f>
        <v>-0.13388094881361923</v>
      </c>
      <c r="T252" s="100"/>
      <c r="U252" s="152">
        <f t="shared" ref="U252" si="406">(O252-30.91)/1.03091</f>
        <v>-10.169842752535088</v>
      </c>
      <c r="V252" s="100"/>
    </row>
    <row r="253" spans="1:22" ht="15" customHeight="1" x14ac:dyDescent="0.2">
      <c r="A253" s="62">
        <f t="shared" si="399"/>
        <v>45243.847222222219</v>
      </c>
      <c r="B253" s="47" t="s">
        <v>335</v>
      </c>
      <c r="C253" s="62">
        <v>45243</v>
      </c>
      <c r="D253" s="47" t="s">
        <v>96</v>
      </c>
      <c r="E253" s="48">
        <v>1.2050000000000001</v>
      </c>
      <c r="F253" s="47">
        <v>200</v>
      </c>
      <c r="G253" s="67">
        <v>0.84722222222222221</v>
      </c>
      <c r="H253" s="49" t="s">
        <v>97</v>
      </c>
      <c r="I253" s="49"/>
      <c r="J253" s="49"/>
      <c r="K253" s="49"/>
      <c r="L253" s="49"/>
      <c r="M253" s="63"/>
      <c r="N253" s="63"/>
      <c r="O253" s="47"/>
      <c r="P253" s="47"/>
      <c r="Q253" s="47"/>
      <c r="R253" s="51"/>
      <c r="S253" s="47"/>
      <c r="T253" s="47"/>
      <c r="U253" s="51"/>
      <c r="V253" s="47"/>
    </row>
    <row r="254" spans="1:22" s="101" customFormat="1" ht="15" customHeight="1" x14ac:dyDescent="0.2">
      <c r="A254" s="129">
        <f t="shared" si="399"/>
        <v>45243.864583333336</v>
      </c>
      <c r="B254" s="100" t="s">
        <v>336</v>
      </c>
      <c r="C254" s="129">
        <v>45243</v>
      </c>
      <c r="D254" s="100" t="s">
        <v>96</v>
      </c>
      <c r="E254" s="107">
        <v>1.643</v>
      </c>
      <c r="F254" s="100">
        <v>577</v>
      </c>
      <c r="G254" s="108">
        <v>0.86458333333333337</v>
      </c>
      <c r="H254" s="103"/>
      <c r="I254" s="103"/>
      <c r="J254" s="103">
        <v>454.43</v>
      </c>
      <c r="K254" s="103">
        <v>456.85</v>
      </c>
      <c r="L254" s="103">
        <f t="shared" si="400"/>
        <v>-2.4200000000000159</v>
      </c>
      <c r="M254" s="104">
        <v>30.877199999999998</v>
      </c>
      <c r="N254" s="104">
        <v>16.0031</v>
      </c>
      <c r="O254" s="105">
        <f t="shared" ref="O254:O256" si="407">((1000+M254)/$R$22)-1000</f>
        <v>20.832406551053396</v>
      </c>
      <c r="P254" s="105">
        <f t="shared" ref="P254:P256" si="408">((1000+N254)/$U$22)-1000</f>
        <v>10.853940325608392</v>
      </c>
      <c r="Q254" s="104">
        <f t="shared" ref="Q254:Q256" si="409">1000*(LN(P254/1000+1))</f>
        <v>10.795459102563042</v>
      </c>
      <c r="R254" s="106">
        <f t="shared" ref="R254:R256" si="410">1000*(LN(O254/1000+1))</f>
        <v>20.618379333967766</v>
      </c>
      <c r="S254" s="104">
        <f t="shared" ref="S254:S256" si="411">Q254-0.528*R254</f>
        <v>-9.104518577193943E-2</v>
      </c>
      <c r="T254" s="100"/>
      <c r="U254" s="152">
        <f t="shared" ref="U254:U256" si="412">(O254-30.91)/1.03091</f>
        <v>-9.7754347604995626</v>
      </c>
      <c r="V254" s="100"/>
    </row>
    <row r="255" spans="1:22" s="125" customFormat="1" ht="15" customHeight="1" x14ac:dyDescent="0.2">
      <c r="A255" s="154">
        <f t="shared" si="399"/>
        <v>45243.916666666664</v>
      </c>
      <c r="B255" s="119" t="s">
        <v>337</v>
      </c>
      <c r="C255" s="154">
        <v>45243</v>
      </c>
      <c r="D255" s="119" t="s">
        <v>53</v>
      </c>
      <c r="E255" s="120">
        <v>1.2210000000000001</v>
      </c>
      <c r="F255" s="119">
        <v>620</v>
      </c>
      <c r="G255" s="130">
        <v>0.91666666666666663</v>
      </c>
      <c r="H255" s="121"/>
      <c r="I255" s="121"/>
      <c r="J255" s="121">
        <v>453.58</v>
      </c>
      <c r="K255" s="121">
        <v>456.95</v>
      </c>
      <c r="L255" s="121">
        <f t="shared" si="400"/>
        <v>-3.3700000000000045</v>
      </c>
      <c r="M255" s="122">
        <v>36.099800000000002</v>
      </c>
      <c r="N255" s="122">
        <v>18.720700000000001</v>
      </c>
      <c r="O255" s="123">
        <f t="shared" si="407"/>
        <v>26.004117911488493</v>
      </c>
      <c r="P255" s="123">
        <f t="shared" si="408"/>
        <v>13.557767379117195</v>
      </c>
      <c r="Q255" s="122">
        <f t="shared" si="409"/>
        <v>13.466683192966389</v>
      </c>
      <c r="R255" s="124">
        <f t="shared" si="410"/>
        <v>25.671760299479129</v>
      </c>
      <c r="S255" s="122">
        <f t="shared" si="411"/>
        <v>-8.8006245158590346E-2</v>
      </c>
      <c r="T255" s="119"/>
      <c r="U255" s="155">
        <f t="shared" si="412"/>
        <v>-4.7587879528877473</v>
      </c>
      <c r="V255" s="119"/>
    </row>
    <row r="256" spans="1:22" s="101" customFormat="1" ht="15" customHeight="1" x14ac:dyDescent="0.2">
      <c r="A256" s="129">
        <f t="shared" si="399"/>
        <v>45243.96875</v>
      </c>
      <c r="B256" s="100" t="s">
        <v>338</v>
      </c>
      <c r="C256" s="129">
        <v>45243</v>
      </c>
      <c r="D256" s="100" t="s">
        <v>53</v>
      </c>
      <c r="E256" s="107">
        <v>1.1830000000000001</v>
      </c>
      <c r="F256" s="100">
        <v>482</v>
      </c>
      <c r="G256" s="108">
        <v>0.96875</v>
      </c>
      <c r="H256" s="103"/>
      <c r="I256" s="103"/>
      <c r="J256" s="103">
        <v>450.4</v>
      </c>
      <c r="K256" s="103">
        <v>456.77</v>
      </c>
      <c r="L256" s="103">
        <f t="shared" si="400"/>
        <v>-6.3700000000000045</v>
      </c>
      <c r="M256" s="104">
        <v>30.2362</v>
      </c>
      <c r="N256" s="104">
        <v>15.697800000000001</v>
      </c>
      <c r="O256" s="105">
        <f t="shared" si="407"/>
        <v>20.197652409047919</v>
      </c>
      <c r="P256" s="105">
        <f t="shared" si="408"/>
        <v>10.550187602824963</v>
      </c>
      <c r="Q256" s="104">
        <f t="shared" si="409"/>
        <v>10.494922736902019</v>
      </c>
      <c r="R256" s="106">
        <f t="shared" si="410"/>
        <v>19.996385395482385</v>
      </c>
      <c r="S256" s="104">
        <f t="shared" si="411"/>
        <v>-6.3168751912680676E-2</v>
      </c>
      <c r="T256" s="100"/>
      <c r="U256" s="152">
        <f t="shared" si="412"/>
        <v>-10.391156930238411</v>
      </c>
      <c r="V256" s="100"/>
    </row>
    <row r="257" spans="1:22" s="101" customFormat="1" ht="15" customHeight="1" x14ac:dyDescent="0.2">
      <c r="A257" s="129">
        <f t="shared" ref="A257" si="413">C257+G257</f>
        <v>45244.072916666664</v>
      </c>
      <c r="B257" s="100" t="s">
        <v>339</v>
      </c>
      <c r="C257" s="129">
        <v>45244</v>
      </c>
      <c r="D257" s="100" t="s">
        <v>132</v>
      </c>
      <c r="E257" s="107">
        <v>1.149</v>
      </c>
      <c r="F257" s="100">
        <v>781</v>
      </c>
      <c r="G257" s="108">
        <v>7.2916666666666671E-2</v>
      </c>
      <c r="H257" s="103"/>
      <c r="I257" s="103"/>
      <c r="J257" s="103">
        <v>452.95</v>
      </c>
      <c r="K257" s="103">
        <v>456.79</v>
      </c>
      <c r="L257" s="103">
        <f t="shared" si="400"/>
        <v>-3.8400000000000318</v>
      </c>
      <c r="M257" s="104">
        <v>32.142600000000002</v>
      </c>
      <c r="N257" s="104">
        <v>16.664100000000001</v>
      </c>
      <c r="O257" s="105">
        <f t="shared" ref="O257" si="414">((1000+M257)/$R$22)-1000</f>
        <v>22.085476584273351</v>
      </c>
      <c r="P257" s="105">
        <f t="shared" ref="P257" si="415">((1000+N257)/$U$22)-1000</f>
        <v>11.511590341199053</v>
      </c>
      <c r="Q257" s="104">
        <f t="shared" ref="Q257" si="416">1000*(LN(P257/1000+1))</f>
        <v>11.445836127685089</v>
      </c>
      <c r="R257" s="106">
        <f t="shared" ref="R257" si="417">1000*(LN(O257/1000+1))</f>
        <v>21.845124863692742</v>
      </c>
      <c r="S257" s="104">
        <f t="shared" ref="S257" si="418">Q257-0.528*R257</f>
        <v>-8.8389800344678804E-2</v>
      </c>
      <c r="T257" s="100"/>
      <c r="U257" s="152">
        <f t="shared" ref="U257" si="419">(O257-30.91)/1.03091</f>
        <v>-8.5599358001441921</v>
      </c>
      <c r="V257" s="100"/>
    </row>
    <row r="258" spans="1:22" s="101" customFormat="1" ht="15" customHeight="1" x14ac:dyDescent="0.2">
      <c r="A258" s="129">
        <f t="shared" si="399"/>
        <v>45244.125</v>
      </c>
      <c r="B258" s="100" t="s">
        <v>340</v>
      </c>
      <c r="C258" s="129">
        <v>45244</v>
      </c>
      <c r="D258" s="100" t="s">
        <v>41</v>
      </c>
      <c r="E258" s="107">
        <v>1.175</v>
      </c>
      <c r="F258" s="100">
        <v>500</v>
      </c>
      <c r="G258" s="108">
        <v>0.125</v>
      </c>
      <c r="H258" s="103"/>
      <c r="I258" s="103"/>
      <c r="J258" s="103">
        <v>453.08</v>
      </c>
      <c r="K258" s="103">
        <v>456.8</v>
      </c>
      <c r="L258" s="103">
        <f t="shared" si="400"/>
        <v>-3.7200000000000273</v>
      </c>
      <c r="M258" s="104">
        <v>31.990100000000002</v>
      </c>
      <c r="N258" s="104">
        <v>16.6098</v>
      </c>
      <c r="O258" s="105">
        <f t="shared" ref="O258" si="420">((1000+M258)/$R$22)-1000</f>
        <v>21.934462533328315</v>
      </c>
      <c r="P258" s="105">
        <f t="shared" ref="P258" si="421">((1000+N258)/$U$22)-1000</f>
        <v>11.457565536589982</v>
      </c>
      <c r="Q258" s="104">
        <f t="shared" ref="Q258" si="422">1000*(LN(P258/1000+1))</f>
        <v>11.392424730417954</v>
      </c>
      <c r="R258" s="106">
        <f t="shared" ref="R258" si="423">1000*(LN(O258/1000+1))</f>
        <v>21.697363045591477</v>
      </c>
      <c r="S258" s="104">
        <f t="shared" ref="S258" si="424">Q258-0.528*R258</f>
        <v>-6.3782957654346717E-2</v>
      </c>
      <c r="T258" s="100"/>
      <c r="U258" s="152">
        <f t="shared" ref="U258" si="425">(O258-30.91)/1.03091</f>
        <v>-8.7064219637715077</v>
      </c>
      <c r="V258" s="100"/>
    </row>
    <row r="259" spans="1:22" ht="15" customHeight="1" x14ac:dyDescent="0.2">
      <c r="A259" s="62">
        <f t="shared" si="399"/>
        <v>45244.184027777781</v>
      </c>
      <c r="B259" s="47" t="s">
        <v>341</v>
      </c>
      <c r="C259" s="62">
        <v>45244</v>
      </c>
      <c r="D259" s="47" t="s">
        <v>41</v>
      </c>
      <c r="E259" s="48">
        <v>1.1439999999999999</v>
      </c>
      <c r="F259" s="47">
        <v>332</v>
      </c>
      <c r="G259" s="67">
        <v>0.18402777777777779</v>
      </c>
      <c r="H259" s="49" t="s">
        <v>97</v>
      </c>
      <c r="I259" s="49"/>
      <c r="J259" s="49"/>
      <c r="K259" s="49"/>
      <c r="L259" s="49"/>
      <c r="M259" s="63"/>
      <c r="N259" s="63"/>
      <c r="O259" s="47"/>
      <c r="P259" s="47"/>
      <c r="Q259" s="47"/>
      <c r="R259" s="51"/>
      <c r="S259" s="47"/>
      <c r="T259" s="47"/>
      <c r="U259" s="51"/>
      <c r="V259" s="47"/>
    </row>
    <row r="260" spans="1:22" s="101" customFormat="1" ht="15" customHeight="1" x14ac:dyDescent="0.2">
      <c r="A260" s="129">
        <f t="shared" si="399"/>
        <v>45244.194444444445</v>
      </c>
      <c r="B260" s="100" t="s">
        <v>342</v>
      </c>
      <c r="C260" s="129">
        <v>45244</v>
      </c>
      <c r="D260" s="100" t="s">
        <v>41</v>
      </c>
      <c r="E260" s="107">
        <v>0.94599999999999995</v>
      </c>
      <c r="F260" s="100">
        <v>576</v>
      </c>
      <c r="G260" s="108">
        <v>0.19444444444444445</v>
      </c>
      <c r="H260" s="103"/>
      <c r="I260" s="103"/>
      <c r="J260" s="103">
        <v>455.12</v>
      </c>
      <c r="K260" s="103">
        <v>456.83</v>
      </c>
      <c r="L260" s="103">
        <f t="shared" si="400"/>
        <v>-1.7099999999999795</v>
      </c>
      <c r="M260" s="104">
        <v>31.4285</v>
      </c>
      <c r="N260" s="104">
        <v>16.297599999999999</v>
      </c>
      <c r="O260" s="105">
        <f t="shared" ref="O260" si="426">((1000+M260)/$R$22)-1000</f>
        <v>21.37833472342129</v>
      </c>
      <c r="P260" s="105">
        <f t="shared" ref="P260" si="427">((1000+N260)/$U$22)-1000</f>
        <v>11.146947783386736</v>
      </c>
      <c r="Q260" s="104">
        <f t="shared" ref="Q260" si="428">1000*(LN(P260/1000+1))</f>
        <v>11.085278421191763</v>
      </c>
      <c r="R260" s="106">
        <f t="shared" ref="R260" si="429">1000*(LN(O260/1000+1))</f>
        <v>21.153023652831148</v>
      </c>
      <c r="S260" s="104">
        <f t="shared" ref="S260" si="430">Q260-0.528*R260</f>
        <v>-8.351806750308377E-2</v>
      </c>
      <c r="T260" s="100"/>
      <c r="U260" s="152">
        <f t="shared" ref="U260" si="431">(O260-30.91)/1.03091</f>
        <v>-9.2458752719235537</v>
      </c>
      <c r="V260" s="100"/>
    </row>
    <row r="261" spans="1:22" ht="15" customHeight="1" x14ac:dyDescent="0.2">
      <c r="A261" s="62">
        <f t="shared" si="399"/>
        <v>45244.246527777781</v>
      </c>
      <c r="B261" s="47" t="s">
        <v>343</v>
      </c>
      <c r="C261" s="62">
        <v>45244</v>
      </c>
      <c r="D261" s="47" t="s">
        <v>41</v>
      </c>
      <c r="E261" s="48">
        <v>1.294</v>
      </c>
      <c r="F261" s="47">
        <v>282</v>
      </c>
      <c r="G261" s="67">
        <v>0.24652777777777779</v>
      </c>
      <c r="H261" s="49" t="s">
        <v>97</v>
      </c>
      <c r="I261" s="49"/>
      <c r="J261" s="49"/>
      <c r="K261" s="49"/>
      <c r="L261" s="49"/>
      <c r="M261" s="63"/>
      <c r="N261" s="63"/>
      <c r="O261" s="47"/>
      <c r="P261" s="47"/>
      <c r="Q261" s="47"/>
      <c r="R261" s="51"/>
      <c r="S261" s="47"/>
      <c r="T261" s="47"/>
      <c r="U261" s="51"/>
      <c r="V261" s="47"/>
    </row>
    <row r="262" spans="1:22" ht="15" customHeight="1" x14ac:dyDescent="0.2">
      <c r="A262" s="62">
        <f t="shared" si="399"/>
        <v>45244.34375</v>
      </c>
      <c r="B262" s="47" t="s">
        <v>344</v>
      </c>
      <c r="C262" s="62">
        <v>45244</v>
      </c>
      <c r="D262" s="47" t="s">
        <v>44</v>
      </c>
      <c r="E262" s="48">
        <v>1.3879999999999999</v>
      </c>
      <c r="F262" s="47">
        <v>472</v>
      </c>
      <c r="G262" s="67">
        <v>0.34375</v>
      </c>
      <c r="H262" s="49" t="s">
        <v>97</v>
      </c>
      <c r="I262" s="49"/>
      <c r="J262" s="49"/>
      <c r="K262" s="49"/>
      <c r="L262" s="49"/>
      <c r="M262" s="63"/>
      <c r="N262" s="63"/>
      <c r="O262" s="47"/>
      <c r="P262" s="47"/>
      <c r="Q262" s="47"/>
      <c r="R262" s="51"/>
      <c r="S262" s="47"/>
      <c r="T262" s="47"/>
      <c r="U262" s="136"/>
      <c r="V262" s="134" t="s">
        <v>345</v>
      </c>
    </row>
    <row r="263" spans="1:22" ht="15" customHeight="1" x14ac:dyDescent="0.2">
      <c r="A263" s="62">
        <f t="shared" si="399"/>
        <v>45244.39166666667</v>
      </c>
      <c r="B263" s="47" t="s">
        <v>346</v>
      </c>
      <c r="C263" s="62">
        <v>45244</v>
      </c>
      <c r="D263" s="47" t="s">
        <v>44</v>
      </c>
      <c r="E263" s="48">
        <v>1.042</v>
      </c>
      <c r="F263" s="47">
        <v>555</v>
      </c>
      <c r="G263" s="67">
        <v>0.39166666666666666</v>
      </c>
      <c r="H263" s="49" t="s">
        <v>347</v>
      </c>
      <c r="I263" s="49"/>
      <c r="J263" s="49"/>
      <c r="K263" s="49"/>
      <c r="L263" s="49"/>
      <c r="M263" s="63"/>
      <c r="N263" s="63"/>
      <c r="O263" s="47"/>
      <c r="P263" s="47"/>
      <c r="Q263" s="47"/>
      <c r="R263" s="51"/>
      <c r="S263" s="47"/>
      <c r="T263" s="47"/>
      <c r="U263" s="136"/>
      <c r="V263" s="136" t="s">
        <v>348</v>
      </c>
    </row>
    <row r="264" spans="1:22" ht="15" customHeight="1" x14ac:dyDescent="0.2">
      <c r="A264" s="62">
        <f t="shared" si="399"/>
        <v>45244.510416666664</v>
      </c>
      <c r="B264" s="47" t="s">
        <v>122</v>
      </c>
      <c r="C264" s="62">
        <v>45244</v>
      </c>
      <c r="D264" s="47" t="s">
        <v>44</v>
      </c>
      <c r="E264" s="48"/>
      <c r="F264" s="47">
        <v>494</v>
      </c>
      <c r="G264" s="67">
        <v>0.51041666666666663</v>
      </c>
      <c r="H264" s="49"/>
      <c r="I264" s="49"/>
      <c r="J264" s="49"/>
      <c r="K264" s="49"/>
      <c r="L264" s="49"/>
      <c r="M264" s="63"/>
      <c r="N264" s="63"/>
      <c r="O264" s="47"/>
      <c r="P264" s="47"/>
      <c r="Q264" s="47"/>
      <c r="R264" s="51"/>
      <c r="S264" s="47"/>
      <c r="T264" s="47"/>
      <c r="U264" s="51"/>
      <c r="V264" s="134"/>
    </row>
    <row r="265" spans="1:22" s="101" customFormat="1" ht="15" customHeight="1" x14ac:dyDescent="0.2">
      <c r="A265" s="129">
        <f t="shared" si="399"/>
        <v>45244.555555555555</v>
      </c>
      <c r="B265" s="100" t="s">
        <v>349</v>
      </c>
      <c r="C265" s="129">
        <v>45244</v>
      </c>
      <c r="D265" s="100" t="s">
        <v>44</v>
      </c>
      <c r="E265" s="107">
        <v>1.5129999999999999</v>
      </c>
      <c r="F265" s="100">
        <v>625</v>
      </c>
      <c r="G265" s="108">
        <v>0.55555555555555558</v>
      </c>
      <c r="H265" s="103"/>
      <c r="I265" s="103"/>
      <c r="J265" s="103">
        <v>455.83</v>
      </c>
      <c r="K265" s="103">
        <v>456.13</v>
      </c>
      <c r="L265" s="103">
        <f t="shared" ref="L265:L270" si="432">J265-K265</f>
        <v>-0.30000000000001137</v>
      </c>
      <c r="M265" s="104">
        <v>31.190100000000001</v>
      </c>
      <c r="N265" s="104">
        <v>16.215199999999999</v>
      </c>
      <c r="O265" s="105">
        <f t="shared" ref="O265:O266" si="433">((1000+M265)/$R$22)-1000</f>
        <v>21.142257675910969</v>
      </c>
      <c r="P265" s="105">
        <f t="shared" ref="P265:P266" si="434">((1000+N265)/$U$22)-1000</f>
        <v>11.064965391125497</v>
      </c>
      <c r="Q265" s="104">
        <f t="shared" ref="Q265:Q266" si="435">1000*(LN(P265/1000+1))</f>
        <v>11.004196520949634</v>
      </c>
      <c r="R265" s="106">
        <f t="shared" ref="R265:R266" si="436">1000*(LN(O265/1000+1))</f>
        <v>20.921861186768361</v>
      </c>
      <c r="S265" s="104">
        <f t="shared" ref="S265:S266" si="437">Q265-0.528*R265</f>
        <v>-4.2546185664061653E-2</v>
      </c>
      <c r="T265" s="100"/>
      <c r="U265" s="152">
        <f t="shared" ref="U265:U267" si="438">(O265-30.91)/1.03091</f>
        <v>-9.4748739696860351</v>
      </c>
      <c r="V265" s="100"/>
    </row>
    <row r="266" spans="1:22" s="125" customFormat="1" ht="15" customHeight="1" x14ac:dyDescent="0.2">
      <c r="A266" s="154">
        <f t="shared" si="399"/>
        <v>45244.618055555555</v>
      </c>
      <c r="B266" s="119" t="s">
        <v>350</v>
      </c>
      <c r="C266" s="154">
        <v>45244</v>
      </c>
      <c r="D266" s="119" t="s">
        <v>53</v>
      </c>
      <c r="E266" s="120">
        <v>2.81</v>
      </c>
      <c r="F266" s="119">
        <v>522</v>
      </c>
      <c r="G266" s="130">
        <v>0.61805555555555558</v>
      </c>
      <c r="H266" s="121"/>
      <c r="I266" s="121"/>
      <c r="J266" s="121">
        <v>456.56</v>
      </c>
      <c r="K266" s="121">
        <v>456.05</v>
      </c>
      <c r="L266" s="121">
        <f t="shared" si="432"/>
        <v>0.50999999999999091</v>
      </c>
      <c r="M266" s="122">
        <v>34.9998</v>
      </c>
      <c r="N266" s="122">
        <v>18.1615</v>
      </c>
      <c r="O266" s="123">
        <f t="shared" si="433"/>
        <v>24.914836232539756</v>
      </c>
      <c r="P266" s="123">
        <f t="shared" si="434"/>
        <v>13.001401435519256</v>
      </c>
      <c r="Q266" s="122">
        <f t="shared" si="435"/>
        <v>12.917608716250083</v>
      </c>
      <c r="R266" s="124">
        <f t="shared" si="436"/>
        <v>24.609522536088313</v>
      </c>
      <c r="S266" s="122">
        <f t="shared" si="437"/>
        <v>-7.6219182804546648E-2</v>
      </c>
      <c r="T266" s="119"/>
      <c r="U266" s="155">
        <f t="shared" si="438"/>
        <v>-5.8154094610201126</v>
      </c>
      <c r="V266" s="119"/>
    </row>
    <row r="267" spans="1:22" s="101" customFormat="1" ht="15" customHeight="1" x14ac:dyDescent="0.2">
      <c r="A267" s="129">
        <f t="shared" si="399"/>
        <v>45244.677083333336</v>
      </c>
      <c r="B267" s="100" t="s">
        <v>351</v>
      </c>
      <c r="C267" s="129">
        <v>45244</v>
      </c>
      <c r="D267" s="100" t="s">
        <v>53</v>
      </c>
      <c r="E267" s="107">
        <v>1.323</v>
      </c>
      <c r="F267" s="100">
        <v>700</v>
      </c>
      <c r="G267" s="108">
        <v>0.67708333333333337</v>
      </c>
      <c r="H267" s="103"/>
      <c r="I267" s="103"/>
      <c r="J267" s="103">
        <v>456.46</v>
      </c>
      <c r="K267" s="103">
        <v>456.48</v>
      </c>
      <c r="L267" s="103">
        <f t="shared" si="432"/>
        <v>-2.0000000000038654E-2</v>
      </c>
      <c r="M267" s="104">
        <v>32.624099999999999</v>
      </c>
      <c r="N267" s="104">
        <v>16.878900000000002</v>
      </c>
      <c r="O267" s="105">
        <f t="shared" ref="O267" si="439">((1000+M267)/$R$22)-1000</f>
        <v>22.562284882831591</v>
      </c>
      <c r="P267" s="105">
        <f t="shared" ref="P267" si="440">((1000+N267)/$U$22)-1000</f>
        <v>11.725301722967515</v>
      </c>
      <c r="Q267" s="104">
        <f t="shared" ref="Q267" si="441">1000*(LN(P267/1000+1))</f>
        <v>11.657093033291615</v>
      </c>
      <c r="R267" s="106">
        <f t="shared" ref="R267" si="442">1000*(LN(O267/1000+1))</f>
        <v>22.311521390456136</v>
      </c>
      <c r="S267" s="104">
        <f t="shared" ref="S267" si="443">Q267-0.528*R267</f>
        <v>-0.12339026086922544</v>
      </c>
      <c r="T267" s="100"/>
      <c r="U267" s="152">
        <f t="shared" si="438"/>
        <v>-8.097423749084216</v>
      </c>
      <c r="V267" s="100"/>
    </row>
    <row r="268" spans="1:22" s="101" customFormat="1" ht="15" customHeight="1" x14ac:dyDescent="0.2">
      <c r="A268" s="129">
        <f t="shared" si="399"/>
        <v>45244.729166666664</v>
      </c>
      <c r="B268" s="100" t="s">
        <v>352</v>
      </c>
      <c r="C268" s="129">
        <v>45244</v>
      </c>
      <c r="D268" s="100" t="s">
        <v>132</v>
      </c>
      <c r="E268" s="107">
        <v>1.423</v>
      </c>
      <c r="F268" s="100">
        <v>550</v>
      </c>
      <c r="G268" s="108">
        <v>0.72916666666666663</v>
      </c>
      <c r="H268" s="103"/>
      <c r="I268" s="103"/>
      <c r="J268" s="103">
        <v>457.42</v>
      </c>
      <c r="K268" s="103">
        <v>456.81</v>
      </c>
      <c r="L268" s="103">
        <f t="shared" si="432"/>
        <v>0.61000000000001364</v>
      </c>
      <c r="M268" s="104">
        <v>31.917300000000001</v>
      </c>
      <c r="N268" s="104">
        <v>16.6509</v>
      </c>
      <c r="O268" s="105">
        <f t="shared" ref="O268" si="444">((1000+M268)/$R$22)-1000</f>
        <v>21.862371891303383</v>
      </c>
      <c r="P268" s="105">
        <f t="shared" ref="P268" si="445">((1000+N268)/$U$22)-1000</f>
        <v>11.498457239526147</v>
      </c>
      <c r="Q268" s="104">
        <f t="shared" ref="Q268" si="446">1000*(LN(P268/1000+1))</f>
        <v>11.432852404061249</v>
      </c>
      <c r="R268" s="106">
        <f t="shared" ref="R268" si="447">1000*(LN(O268/1000+1))</f>
        <v>21.626817244912356</v>
      </c>
      <c r="S268" s="104">
        <f t="shared" ref="S268" si="448">Q268-0.528*R268</f>
        <v>1.389289874752464E-2</v>
      </c>
      <c r="T268" s="100"/>
      <c r="U268" s="152">
        <f t="shared" ref="U268" si="449">(O268-30.91)/1.03091</f>
        <v>-8.7763510963096856</v>
      </c>
      <c r="V268" s="100"/>
    </row>
    <row r="269" spans="1:22" ht="15" customHeight="1" x14ac:dyDescent="0.2">
      <c r="A269" s="62">
        <f t="shared" si="399"/>
        <v>45244.84375</v>
      </c>
      <c r="B269" s="47" t="s">
        <v>353</v>
      </c>
      <c r="C269" s="62">
        <v>45244</v>
      </c>
      <c r="D269" s="47" t="s">
        <v>41</v>
      </c>
      <c r="E269" s="48">
        <v>1.349</v>
      </c>
      <c r="F269" s="47">
        <v>352</v>
      </c>
      <c r="G269" s="67">
        <v>0.84375</v>
      </c>
      <c r="H269" s="49" t="s">
        <v>97</v>
      </c>
      <c r="I269" s="49"/>
      <c r="J269" s="49"/>
      <c r="K269" s="49"/>
      <c r="L269" s="49"/>
      <c r="M269" s="63"/>
      <c r="N269" s="63"/>
      <c r="O269" s="47"/>
      <c r="P269" s="47"/>
      <c r="Q269" s="47"/>
      <c r="R269" s="51"/>
      <c r="S269" s="47"/>
      <c r="T269" s="47"/>
      <c r="U269" s="51"/>
      <c r="V269" s="47"/>
    </row>
    <row r="270" spans="1:22" s="125" customFormat="1" ht="15" customHeight="1" x14ac:dyDescent="0.2">
      <c r="A270" s="154">
        <f t="shared" si="399"/>
        <v>45244.854166666664</v>
      </c>
      <c r="B270" s="119" t="s">
        <v>354</v>
      </c>
      <c r="C270" s="154">
        <v>45244</v>
      </c>
      <c r="D270" s="119" t="s">
        <v>41</v>
      </c>
      <c r="E270" s="120">
        <v>1.325</v>
      </c>
      <c r="F270" s="119">
        <v>471</v>
      </c>
      <c r="G270" s="130">
        <v>0.85416666666666663</v>
      </c>
      <c r="H270" s="121"/>
      <c r="I270" s="121"/>
      <c r="J270" s="121">
        <v>454.9</v>
      </c>
      <c r="K270" s="121">
        <v>456.83</v>
      </c>
      <c r="L270" s="121">
        <f t="shared" si="432"/>
        <v>-1.9300000000000068</v>
      </c>
      <c r="M270" s="122">
        <v>34.246299999999998</v>
      </c>
      <c r="N270" s="122">
        <v>17.7607</v>
      </c>
      <c r="O270" s="123">
        <f t="shared" ref="O270" si="450">((1000+M270)/$R$22)-1000</f>
        <v>24.168678282459723</v>
      </c>
      <c r="P270" s="123">
        <f t="shared" ref="P270" si="451">((1000+N270)/$U$22)-1000</f>
        <v>12.60263271199608</v>
      </c>
      <c r="Q270" s="122">
        <f t="shared" ref="Q270" si="452">1000*(LN(P270/1000+1))</f>
        <v>12.523880502885328</v>
      </c>
      <c r="R270" s="124">
        <f t="shared" ref="R270" si="453">1000*(LN(O270/1000+1))</f>
        <v>23.881237936876424</v>
      </c>
      <c r="S270" s="122">
        <f t="shared" ref="S270" si="454">Q270-0.528*R270</f>
        <v>-8.5413127785423981E-2</v>
      </c>
      <c r="T270" s="119"/>
      <c r="U270" s="155">
        <f t="shared" ref="U270" si="455">(O270-30.91)/1.03091</f>
        <v>-6.5391951940909268</v>
      </c>
      <c r="V270" s="119"/>
    </row>
    <row r="271" spans="1:22" ht="15" customHeight="1" x14ac:dyDescent="0.2">
      <c r="A271" s="62">
        <f t="shared" si="399"/>
        <v>45244.90625</v>
      </c>
      <c r="B271" s="47" t="s">
        <v>355</v>
      </c>
      <c r="C271" s="62">
        <v>45244</v>
      </c>
      <c r="D271" s="47" t="s">
        <v>41</v>
      </c>
      <c r="E271" s="48">
        <v>0.82799999999999996</v>
      </c>
      <c r="F271" s="47">
        <v>315</v>
      </c>
      <c r="G271" s="67">
        <v>0.90625</v>
      </c>
      <c r="H271" s="49" t="s">
        <v>97</v>
      </c>
      <c r="I271" s="49"/>
      <c r="J271" s="49"/>
      <c r="K271" s="49"/>
      <c r="L271" s="49"/>
      <c r="M271" s="63"/>
      <c r="N271" s="63"/>
      <c r="O271" s="47"/>
      <c r="P271" s="47"/>
      <c r="Q271" s="47"/>
      <c r="R271" s="51"/>
      <c r="S271" s="47"/>
      <c r="T271" s="47"/>
      <c r="U271" s="51"/>
      <c r="V271" s="47"/>
    </row>
    <row r="272" spans="1:22" ht="15" customHeight="1" x14ac:dyDescent="0.2">
      <c r="A272" s="62">
        <f t="shared" si="399"/>
        <v>45244.916666666664</v>
      </c>
      <c r="B272" s="47" t="s">
        <v>341</v>
      </c>
      <c r="C272" s="62">
        <v>45244</v>
      </c>
      <c r="D272" s="47" t="s">
        <v>41</v>
      </c>
      <c r="E272" s="48">
        <v>1.494</v>
      </c>
      <c r="F272" s="47">
        <v>266</v>
      </c>
      <c r="G272" s="67">
        <v>0.91666666666666663</v>
      </c>
      <c r="H272" s="49" t="s">
        <v>97</v>
      </c>
      <c r="I272" s="49"/>
      <c r="J272" s="49"/>
      <c r="K272" s="49"/>
      <c r="L272" s="49"/>
      <c r="M272" s="63"/>
      <c r="N272" s="63"/>
      <c r="O272" s="47"/>
      <c r="P272" s="47"/>
      <c r="Q272" s="47"/>
      <c r="R272" s="51"/>
      <c r="S272" s="47"/>
      <c r="T272" s="47"/>
      <c r="U272" s="51"/>
      <c r="V272" s="47"/>
    </row>
    <row r="273" spans="1:22" ht="15" customHeight="1" x14ac:dyDescent="0.2">
      <c r="A273" s="62">
        <f t="shared" si="399"/>
        <v>45244.958333333336</v>
      </c>
      <c r="B273" s="47" t="s">
        <v>356</v>
      </c>
      <c r="C273" s="62">
        <v>45244</v>
      </c>
      <c r="D273" s="47" t="s">
        <v>83</v>
      </c>
      <c r="E273" s="48">
        <v>1.4350000000000001</v>
      </c>
      <c r="F273" s="47">
        <v>420</v>
      </c>
      <c r="G273" s="67">
        <v>0.95833333333333337</v>
      </c>
      <c r="H273" s="49" t="s">
        <v>97</v>
      </c>
      <c r="I273" s="49"/>
      <c r="J273" s="49"/>
      <c r="K273" s="49"/>
      <c r="L273" s="49"/>
      <c r="M273" s="63"/>
      <c r="N273" s="63"/>
      <c r="O273" s="47"/>
      <c r="P273" s="47"/>
      <c r="Q273" s="47"/>
      <c r="R273" s="51"/>
      <c r="S273" s="47"/>
      <c r="T273" s="47"/>
      <c r="U273" s="51"/>
      <c r="V273" s="47"/>
    </row>
    <row r="274" spans="1:22" s="101" customFormat="1" ht="15" customHeight="1" x14ac:dyDescent="0.2">
      <c r="A274" s="129">
        <f t="shared" si="399"/>
        <v>45245.041666666664</v>
      </c>
      <c r="B274" s="100" t="s">
        <v>357</v>
      </c>
      <c r="C274" s="129">
        <v>45245</v>
      </c>
      <c r="D274" s="100" t="s">
        <v>96</v>
      </c>
      <c r="E274" s="107">
        <v>0.98699999999999999</v>
      </c>
      <c r="F274" s="100">
        <v>548</v>
      </c>
      <c r="G274" s="108">
        <v>4.1666666666666664E-2</v>
      </c>
      <c r="H274" s="103"/>
      <c r="I274" s="103"/>
      <c r="J274" s="103">
        <v>458.21</v>
      </c>
      <c r="K274" s="103">
        <v>456.9</v>
      </c>
      <c r="L274" s="103">
        <f t="shared" ref="L274:L293" si="456">J274-K274</f>
        <v>1.3100000000000023</v>
      </c>
      <c r="M274" s="104">
        <v>32.082999999999998</v>
      </c>
      <c r="N274" s="104">
        <v>16.617999999999999</v>
      </c>
      <c r="O274" s="105">
        <f t="shared" ref="O274:O275" si="457">((1000+M274)/$R$22)-1000</f>
        <v>22.026457322395913</v>
      </c>
      <c r="P274" s="105">
        <f t="shared" ref="P274:P275" si="458">((1000+N274)/$U$22)-1000</f>
        <v>11.465723978538449</v>
      </c>
      <c r="Q274" s="104">
        <f t="shared" ref="Q274:Q275" si="459">1000*(LN(P274/1000+1))</f>
        <v>11.400490722826849</v>
      </c>
      <c r="R274" s="106">
        <f t="shared" ref="R274:R275" si="460">1000*(LN(O274/1000+1))</f>
        <v>21.787379237423576</v>
      </c>
      <c r="S274" s="104">
        <f t="shared" ref="S274:S275" si="461">Q274-0.528*R274</f>
        <v>-0.10324551453279973</v>
      </c>
      <c r="T274" s="100"/>
      <c r="U274" s="152">
        <f t="shared" ref="U274:U275" si="462">(O274-30.91)/1.03091</f>
        <v>-8.6171854745846748</v>
      </c>
      <c r="V274" s="100"/>
    </row>
    <row r="275" spans="1:22" s="125" customFormat="1" ht="15" customHeight="1" x14ac:dyDescent="0.2">
      <c r="A275" s="154">
        <f t="shared" si="399"/>
        <v>45245.083333333336</v>
      </c>
      <c r="B275" s="119" t="s">
        <v>358</v>
      </c>
      <c r="C275" s="154">
        <v>45245</v>
      </c>
      <c r="D275" s="119" t="s">
        <v>321</v>
      </c>
      <c r="E275" s="120">
        <v>3.2749999999999999</v>
      </c>
      <c r="F275" s="119">
        <v>1340</v>
      </c>
      <c r="G275" s="130">
        <v>8.3333333333333329E-2</v>
      </c>
      <c r="H275" s="121"/>
      <c r="I275" s="121"/>
      <c r="J275" s="121">
        <v>457.14</v>
      </c>
      <c r="K275" s="121">
        <v>456.81</v>
      </c>
      <c r="L275" s="121">
        <f t="shared" si="456"/>
        <v>0.32999999999998408</v>
      </c>
      <c r="M275" s="122">
        <v>35.223399999999998</v>
      </c>
      <c r="N275" s="122">
        <v>18.272500000000001</v>
      </c>
      <c r="O275" s="123">
        <f t="shared" si="457"/>
        <v>25.136257490187973</v>
      </c>
      <c r="P275" s="123">
        <f t="shared" si="458"/>
        <v>13.111838881405106</v>
      </c>
      <c r="Q275" s="122">
        <f t="shared" si="459"/>
        <v>13.02662280667465</v>
      </c>
      <c r="R275" s="124">
        <f t="shared" si="460"/>
        <v>24.82553789218078</v>
      </c>
      <c r="S275" s="122">
        <f t="shared" si="461"/>
        <v>-8.1261200396802735E-2</v>
      </c>
      <c r="T275" s="119"/>
      <c r="U275" s="155">
        <f t="shared" si="462"/>
        <v>-5.6006271253669357</v>
      </c>
      <c r="V275" s="132" t="s">
        <v>359</v>
      </c>
    </row>
    <row r="276" spans="1:22" s="101" customFormat="1" ht="15" customHeight="1" x14ac:dyDescent="0.2">
      <c r="A276" s="129">
        <f t="shared" si="399"/>
        <v>45245.145833333336</v>
      </c>
      <c r="B276" s="100" t="s">
        <v>360</v>
      </c>
      <c r="C276" s="129">
        <v>45245</v>
      </c>
      <c r="D276" s="100" t="s">
        <v>41</v>
      </c>
      <c r="E276" s="107">
        <v>1.248</v>
      </c>
      <c r="F276" s="100">
        <v>820</v>
      </c>
      <c r="G276" s="108">
        <v>0.14583333333333334</v>
      </c>
      <c r="H276" s="103"/>
      <c r="I276" s="103"/>
      <c r="J276" s="103">
        <v>457.95</v>
      </c>
      <c r="K276" s="103">
        <v>456.85</v>
      </c>
      <c r="L276" s="103">
        <f t="shared" si="456"/>
        <v>1.0999999999999659</v>
      </c>
      <c r="M276" s="104">
        <v>32.149000000000001</v>
      </c>
      <c r="N276" s="104">
        <v>16.686</v>
      </c>
      <c r="O276" s="105">
        <f t="shared" ref="O276:O277" si="463">((1000+M276)/$R$22)-1000</f>
        <v>22.091814223132701</v>
      </c>
      <c r="P276" s="105">
        <f t="shared" ref="P276:P277" si="464">((1000+N276)/$U$22)-1000</f>
        <v>11.53337935079287</v>
      </c>
      <c r="Q276" s="104">
        <f t="shared" ref="Q276:Q277" si="465">1000*(LN(P276/1000+1))</f>
        <v>11.467376933669119</v>
      </c>
      <c r="R276" s="106">
        <f t="shared" ref="R276:R277" si="466">1000*(LN(O276/1000+1))</f>
        <v>21.851325538055001</v>
      </c>
      <c r="S276" s="104">
        <f t="shared" ref="S276:S277" si="467">Q276-0.528*R276</f>
        <v>-7.0122950423922248E-2</v>
      </c>
      <c r="T276" s="100"/>
      <c r="U276" s="152">
        <f t="shared" ref="U276:U277" si="468">(O276-30.91)/1.03091</f>
        <v>-8.5537881840968648</v>
      </c>
      <c r="V276" s="137" t="s">
        <v>361</v>
      </c>
    </row>
    <row r="277" spans="1:22" s="125" customFormat="1" ht="15" customHeight="1" x14ac:dyDescent="0.2">
      <c r="A277" s="154">
        <f t="shared" si="399"/>
        <v>45245.197916666664</v>
      </c>
      <c r="B277" s="119" t="s">
        <v>362</v>
      </c>
      <c r="C277" s="154">
        <v>45245</v>
      </c>
      <c r="D277" s="119" t="s">
        <v>41</v>
      </c>
      <c r="E277" s="120">
        <v>1.458</v>
      </c>
      <c r="F277" s="119" t="s">
        <v>363</v>
      </c>
      <c r="G277" s="130">
        <v>0.19791666666666666</v>
      </c>
      <c r="H277" s="121"/>
      <c r="I277" s="121"/>
      <c r="J277" s="121">
        <v>457.55</v>
      </c>
      <c r="K277" s="121">
        <v>456.67</v>
      </c>
      <c r="L277" s="121">
        <f t="shared" si="456"/>
        <v>0.87999999999999545</v>
      </c>
      <c r="M277" s="122">
        <v>34.091299999999997</v>
      </c>
      <c r="N277" s="122">
        <v>17.695699999999999</v>
      </c>
      <c r="O277" s="123">
        <f t="shared" si="463"/>
        <v>24.015188591335118</v>
      </c>
      <c r="P277" s="123">
        <f t="shared" si="464"/>
        <v>12.537962135576436</v>
      </c>
      <c r="Q277" s="122">
        <f t="shared" si="465"/>
        <v>12.460012762930573</v>
      </c>
      <c r="R277" s="124">
        <f t="shared" si="466"/>
        <v>23.731359116039684</v>
      </c>
      <c r="S277" s="122">
        <f t="shared" si="467"/>
        <v>-7.0144850338380138E-2</v>
      </c>
      <c r="T277" s="119"/>
      <c r="U277" s="155">
        <f t="shared" si="468"/>
        <v>-6.6880827702368606</v>
      </c>
      <c r="V277" s="119"/>
    </row>
    <row r="278" spans="1:22" s="101" customFormat="1" ht="13" customHeight="1" x14ac:dyDescent="0.2">
      <c r="A278" s="129">
        <f t="shared" si="399"/>
        <v>45245.304166666669</v>
      </c>
      <c r="B278" s="100" t="s">
        <v>364</v>
      </c>
      <c r="C278" s="129">
        <v>45245</v>
      </c>
      <c r="D278" s="100" t="s">
        <v>44</v>
      </c>
      <c r="E278" s="100">
        <v>2.226</v>
      </c>
      <c r="F278" s="100">
        <v>776</v>
      </c>
      <c r="G278" s="108">
        <v>0.30416666666666664</v>
      </c>
      <c r="H278" s="103"/>
      <c r="I278" s="103"/>
      <c r="J278" s="103">
        <v>456.51</v>
      </c>
      <c r="K278" s="103">
        <v>456.56</v>
      </c>
      <c r="L278" s="103">
        <f t="shared" si="456"/>
        <v>-5.0000000000011369E-2</v>
      </c>
      <c r="M278" s="104">
        <v>29.9374</v>
      </c>
      <c r="N278" s="104">
        <v>15.534599999999999</v>
      </c>
      <c r="O278" s="105">
        <f t="shared" ref="O278" si="469">((1000+M278)/$R$22)-1000</f>
        <v>19.901763894802457</v>
      </c>
      <c r="P278" s="105">
        <f t="shared" ref="P278" si="470">((1000+N278)/$U$22)-1000</f>
        <v>10.387814709414329</v>
      </c>
      <c r="Q278" s="104">
        <f t="shared" ref="Q278" si="471">1000*(LN(P278/1000+1))</f>
        <v>10.334232113464582</v>
      </c>
      <c r="R278" s="106">
        <f t="shared" ref="R278" si="472">1000*(LN(O278/1000+1))</f>
        <v>19.706312751026413</v>
      </c>
      <c r="S278" s="104">
        <f t="shared" ref="S278" si="473">Q278-0.528*R278</f>
        <v>-7.0701019077365146E-2</v>
      </c>
      <c r="T278" s="100"/>
      <c r="U278" s="152">
        <f t="shared" ref="U278" si="474">(O278-30.91)/1.03091</f>
        <v>-10.678173754447569</v>
      </c>
      <c r="V278" s="100"/>
    </row>
    <row r="279" spans="1:22" s="125" customFormat="1" ht="15" customHeight="1" x14ac:dyDescent="0.15">
      <c r="A279" s="154">
        <f t="shared" si="399"/>
        <v>45245.357638888891</v>
      </c>
      <c r="B279" s="119" t="s">
        <v>365</v>
      </c>
      <c r="C279" s="154">
        <v>45245</v>
      </c>
      <c r="D279" s="119" t="s">
        <v>44</v>
      </c>
      <c r="E279" s="120">
        <v>3.66</v>
      </c>
      <c r="F279" s="5">
        <v>661</v>
      </c>
      <c r="G279" s="130">
        <v>0.3576388888888889</v>
      </c>
      <c r="H279" s="121"/>
      <c r="I279" s="121"/>
      <c r="J279" s="121">
        <v>455.9</v>
      </c>
      <c r="K279" s="121">
        <v>456.47</v>
      </c>
      <c r="L279" s="121">
        <f t="shared" si="456"/>
        <v>-0.57000000000005002</v>
      </c>
      <c r="M279" s="122">
        <v>35.013300000000001</v>
      </c>
      <c r="N279" s="122">
        <v>18.149100000000001</v>
      </c>
      <c r="O279" s="123">
        <f t="shared" ref="O279:O280" si="475">((1000+M279)/$R$22)-1000</f>
        <v>24.928204689508675</v>
      </c>
      <c r="P279" s="123">
        <f t="shared" ref="P279:P280" si="476">((1000+N279)/$U$22)-1000</f>
        <v>12.989064279402214</v>
      </c>
      <c r="Q279" s="122">
        <f t="shared" ref="Q279:Q280" si="477">1000*(LN(P279/1000+1))</f>
        <v>12.905429827626392</v>
      </c>
      <c r="R279" s="124">
        <f t="shared" ref="R279:R280" si="478">1000*(LN(O279/1000+1))</f>
        <v>24.622565931804264</v>
      </c>
      <c r="S279" s="122">
        <f t="shared" ref="S279:S280" si="479">Q279-0.528*R279</f>
        <v>-9.5284984366259096E-2</v>
      </c>
      <c r="T279" s="119"/>
      <c r="U279" s="155">
        <f t="shared" ref="U279:U284" si="480">(O279-30.91)/1.03091</f>
        <v>-5.8024418334203034</v>
      </c>
      <c r="V279" s="119"/>
    </row>
    <row r="280" spans="1:22" s="101" customFormat="1" ht="15" customHeight="1" x14ac:dyDescent="0.15">
      <c r="A280" s="129">
        <f t="shared" si="399"/>
        <v>45245.395833333336</v>
      </c>
      <c r="B280" s="100" t="s">
        <v>366</v>
      </c>
      <c r="C280" s="129">
        <v>45245</v>
      </c>
      <c r="D280" s="100" t="s">
        <v>44</v>
      </c>
      <c r="E280" s="2">
        <v>1.127</v>
      </c>
      <c r="F280" s="100">
        <v>519</v>
      </c>
      <c r="G280" s="108">
        <v>0.39583333333333331</v>
      </c>
      <c r="H280" s="103"/>
      <c r="I280" s="103"/>
      <c r="J280" s="103">
        <v>456.9</v>
      </c>
      <c r="K280" s="103">
        <v>456.34</v>
      </c>
      <c r="L280" s="103">
        <f t="shared" si="456"/>
        <v>0.56000000000000227</v>
      </c>
      <c r="M280" s="104">
        <v>31.212800000000001</v>
      </c>
      <c r="N280" s="104">
        <v>16.1736</v>
      </c>
      <c r="O280" s="105">
        <f t="shared" si="475"/>
        <v>21.164736488740118</v>
      </c>
      <c r="P280" s="105">
        <f t="shared" si="476"/>
        <v>11.023576222216889</v>
      </c>
      <c r="Q280" s="104">
        <f t="shared" si="477"/>
        <v>10.963259471891071</v>
      </c>
      <c r="R280" s="106">
        <f t="shared" si="478"/>
        <v>20.943874344334059</v>
      </c>
      <c r="S280" s="104">
        <f t="shared" si="479"/>
        <v>-9.5106181917312682E-2</v>
      </c>
      <c r="T280" s="100"/>
      <c r="U280" s="152">
        <f t="shared" si="480"/>
        <v>-9.4530691440182775</v>
      </c>
      <c r="V280" s="100"/>
    </row>
    <row r="281" spans="1:22" s="125" customFormat="1" ht="15" customHeight="1" x14ac:dyDescent="0.15">
      <c r="A281" s="154">
        <f t="shared" si="399"/>
        <v>45245.472222222219</v>
      </c>
      <c r="B281" s="119" t="s">
        <v>367</v>
      </c>
      <c r="C281" s="154">
        <v>45245</v>
      </c>
      <c r="D281" s="119" t="s">
        <v>44</v>
      </c>
      <c r="E281" s="5">
        <v>2.0659999999999998</v>
      </c>
      <c r="F281" s="119">
        <v>770</v>
      </c>
      <c r="G281" s="130">
        <v>0.47222222222222227</v>
      </c>
      <c r="H281" s="121"/>
      <c r="I281" s="121"/>
      <c r="J281" s="121">
        <v>459.19</v>
      </c>
      <c r="K281" s="121">
        <v>456.74</v>
      </c>
      <c r="L281" s="121">
        <f t="shared" si="456"/>
        <v>2.4499999999999886</v>
      </c>
      <c r="M281" s="122">
        <v>35.1935</v>
      </c>
      <c r="N281" s="122">
        <v>18.218599999999999</v>
      </c>
      <c r="O281" s="123">
        <f t="shared" ref="O281:O284" si="481">((1000+M281)/$R$22)-1000</f>
        <v>25.106648833641884</v>
      </c>
      <c r="P281" s="123">
        <f t="shared" ref="P281:P284" si="482">((1000+N281)/$U$22)-1000</f>
        <v>13.058212049574081</v>
      </c>
      <c r="Q281" s="122">
        <f t="shared" ref="Q281:Q284" si="483">1000*(LN(P281/1000+1))</f>
        <v>12.973688620011643</v>
      </c>
      <c r="R281" s="124">
        <f t="shared" ref="R281:R284" si="484">1000*(LN(O281/1000+1))</f>
        <v>24.796654820368321</v>
      </c>
      <c r="S281" s="122">
        <f t="shared" ref="S281:S284" si="485">Q281-0.528*R281</f>
        <v>-0.11894512514283129</v>
      </c>
      <c r="T281" s="119"/>
      <c r="U281" s="155">
        <f t="shared" si="480"/>
        <v>-5.6293480190881029</v>
      </c>
      <c r="V281" s="119"/>
    </row>
    <row r="282" spans="1:22" s="101" customFormat="1" ht="15" customHeight="1" x14ac:dyDescent="0.15">
      <c r="A282" s="129">
        <f t="shared" si="399"/>
        <v>45245.638888888891</v>
      </c>
      <c r="B282" s="100" t="s">
        <v>368</v>
      </c>
      <c r="C282" s="129">
        <v>45245</v>
      </c>
      <c r="D282" s="100" t="s">
        <v>53</v>
      </c>
      <c r="E282" s="2">
        <v>1.6020000000000001</v>
      </c>
      <c r="F282" s="100">
        <v>478</v>
      </c>
      <c r="G282" s="108">
        <v>0.63888888888888895</v>
      </c>
      <c r="H282" s="103"/>
      <c r="I282" s="103"/>
      <c r="J282" s="103">
        <v>453.42</v>
      </c>
      <c r="K282" s="103">
        <v>456.3</v>
      </c>
      <c r="L282" s="103">
        <f t="shared" si="456"/>
        <v>-2.8799999999999955</v>
      </c>
      <c r="M282" s="104">
        <v>30.587399999999999</v>
      </c>
      <c r="N282" s="104">
        <v>15.837999999999999</v>
      </c>
      <c r="O282" s="105">
        <f t="shared" si="481"/>
        <v>20.545430341453994</v>
      </c>
      <c r="P282" s="105">
        <f t="shared" si="482"/>
        <v>10.68967706150238</v>
      </c>
      <c r="Q282" s="104">
        <f t="shared" si="483"/>
        <v>10.632946393903351</v>
      </c>
      <c r="R282" s="106">
        <f t="shared" si="484"/>
        <v>20.337220004907245</v>
      </c>
      <c r="S282" s="104">
        <f t="shared" si="485"/>
        <v>-0.10510576868767529</v>
      </c>
      <c r="T282" s="100"/>
      <c r="U282" s="152">
        <f t="shared" si="480"/>
        <v>-10.05380649964207</v>
      </c>
      <c r="V282" s="100"/>
    </row>
    <row r="283" spans="1:22" s="125" customFormat="1" ht="15" customHeight="1" x14ac:dyDescent="0.15">
      <c r="A283" s="154">
        <f t="shared" si="399"/>
        <v>45245.690972222219</v>
      </c>
      <c r="B283" s="119" t="s">
        <v>369</v>
      </c>
      <c r="C283" s="154">
        <v>45245</v>
      </c>
      <c r="D283" s="119" t="s">
        <v>44</v>
      </c>
      <c r="E283" s="5">
        <v>1.3220000000000001</v>
      </c>
      <c r="F283" s="119">
        <v>727</v>
      </c>
      <c r="G283" s="130">
        <v>0.69097222222222221</v>
      </c>
      <c r="H283" s="121"/>
      <c r="I283" s="121"/>
      <c r="J283" s="121">
        <v>456.37</v>
      </c>
      <c r="K283" s="121">
        <v>456.18</v>
      </c>
      <c r="L283" s="121">
        <f t="shared" si="456"/>
        <v>0.18999999999999773</v>
      </c>
      <c r="M283" s="122">
        <v>34.764499999999998</v>
      </c>
      <c r="N283" s="122">
        <v>17.999099999999999</v>
      </c>
      <c r="O283" s="123">
        <f t="shared" si="481"/>
        <v>24.681828978851854</v>
      </c>
      <c r="P283" s="123">
        <f t="shared" si="482"/>
        <v>12.839824487664487</v>
      </c>
      <c r="Q283" s="122">
        <f t="shared" si="483"/>
        <v>12.758092811321369</v>
      </c>
      <c r="R283" s="124">
        <f t="shared" si="484"/>
        <v>24.382153650642188</v>
      </c>
      <c r="S283" s="122">
        <f t="shared" si="485"/>
        <v>-0.11568431621770792</v>
      </c>
      <c r="T283" s="119"/>
      <c r="U283" s="155">
        <f t="shared" si="480"/>
        <v>-6.0414304072597469</v>
      </c>
      <c r="V283" s="119"/>
    </row>
    <row r="284" spans="1:22" s="101" customFormat="1" ht="15" customHeight="1" x14ac:dyDescent="0.15">
      <c r="A284" s="129">
        <f t="shared" si="399"/>
        <v>45245.756944444445</v>
      </c>
      <c r="B284" s="100" t="s">
        <v>370</v>
      </c>
      <c r="C284" s="129">
        <v>45245</v>
      </c>
      <c r="D284" s="100" t="s">
        <v>53</v>
      </c>
      <c r="E284" s="2">
        <v>1.56</v>
      </c>
      <c r="F284" s="100">
        <v>634</v>
      </c>
      <c r="G284" s="108">
        <v>0.75694444444444453</v>
      </c>
      <c r="H284" s="103"/>
      <c r="I284" s="103"/>
      <c r="J284" s="103">
        <v>457.23</v>
      </c>
      <c r="K284" s="103">
        <v>456.37</v>
      </c>
      <c r="L284" s="103">
        <f t="shared" si="456"/>
        <v>0.86000000000001364</v>
      </c>
      <c r="M284" s="104">
        <v>31.519600000000001</v>
      </c>
      <c r="N284" s="104">
        <v>16.3416</v>
      </c>
      <c r="O284" s="105">
        <f t="shared" si="481"/>
        <v>21.468547051559767</v>
      </c>
      <c r="P284" s="105">
        <f t="shared" si="482"/>
        <v>11.190724788963053</v>
      </c>
      <c r="Q284" s="104">
        <f t="shared" si="483"/>
        <v>11.128571889119394</v>
      </c>
      <c r="R284" s="106">
        <f t="shared" si="484"/>
        <v>21.241343858326733</v>
      </c>
      <c r="S284" s="104">
        <f t="shared" si="485"/>
        <v>-8.685766807712092E-2</v>
      </c>
      <c r="T284" s="100"/>
      <c r="U284" s="152">
        <f t="shared" si="480"/>
        <v>-9.1583677997499624</v>
      </c>
      <c r="V284" s="100"/>
    </row>
    <row r="285" spans="1:22" s="125" customFormat="1" ht="15" customHeight="1" x14ac:dyDescent="0.2">
      <c r="A285" s="154">
        <f t="shared" si="399"/>
        <v>45245.84375</v>
      </c>
      <c r="B285" s="119" t="s">
        <v>371</v>
      </c>
      <c r="C285" s="154">
        <v>45245</v>
      </c>
      <c r="D285" s="119" t="s">
        <v>41</v>
      </c>
      <c r="E285" s="120">
        <v>3.5609999999999999</v>
      </c>
      <c r="F285" s="119" t="s">
        <v>372</v>
      </c>
      <c r="G285" s="130">
        <v>0.84375</v>
      </c>
      <c r="H285" s="121"/>
      <c r="I285" s="121"/>
      <c r="J285" s="121">
        <v>456.79</v>
      </c>
      <c r="K285" s="121">
        <v>456.52</v>
      </c>
      <c r="L285" s="121">
        <f t="shared" si="456"/>
        <v>0.27000000000003865</v>
      </c>
      <c r="M285" s="122">
        <v>35.101399999999998</v>
      </c>
      <c r="N285" s="122">
        <v>18.184000000000001</v>
      </c>
      <c r="O285" s="123">
        <f t="shared" ref="O285:O286" si="486">((1000+M285)/$R$22)-1000</f>
        <v>25.015446249431761</v>
      </c>
      <c r="P285" s="123">
        <f t="shared" ref="P285:P286" si="487">((1000+N285)/$U$22)-1000</f>
        <v>13.023787404279801</v>
      </c>
      <c r="Q285" s="122">
        <f t="shared" ref="Q285:Q286" si="488">1000*(LN(P285/1000+1))</f>
        <v>12.939707127350495</v>
      </c>
      <c r="R285" s="124">
        <f t="shared" ref="R285:R286" si="489">1000*(LN(O285/1000+1))</f>
        <v>24.707681988468394</v>
      </c>
      <c r="S285" s="122">
        <f t="shared" ref="S285:S286" si="490">Q285-0.528*R285</f>
        <v>-0.10594896256081832</v>
      </c>
      <c r="T285" s="119"/>
      <c r="U285" s="155">
        <f t="shared" ref="U285:U286" si="491">(O285-30.91)/1.03091</f>
        <v>-5.7178160562689655</v>
      </c>
      <c r="V285" s="119"/>
    </row>
    <row r="286" spans="1:22" s="101" customFormat="1" ht="15" customHeight="1" x14ac:dyDescent="0.2">
      <c r="A286" s="129">
        <f t="shared" si="399"/>
        <v>45245.902777777781</v>
      </c>
      <c r="B286" s="100" t="s">
        <v>373</v>
      </c>
      <c r="C286" s="129">
        <v>45245</v>
      </c>
      <c r="D286" s="100" t="s">
        <v>41</v>
      </c>
      <c r="E286" s="107">
        <v>1.1579999999999999</v>
      </c>
      <c r="F286" s="100">
        <v>493</v>
      </c>
      <c r="G286" s="108">
        <v>0.90277777777777779</v>
      </c>
      <c r="H286" s="103"/>
      <c r="I286" s="103"/>
      <c r="J286" s="103">
        <v>457.44</v>
      </c>
      <c r="K286" s="103">
        <v>456.74</v>
      </c>
      <c r="L286" s="103">
        <f t="shared" si="456"/>
        <v>0.69999999999998863</v>
      </c>
      <c r="M286" s="104">
        <v>30.6553</v>
      </c>
      <c r="N286" s="104">
        <v>15.91</v>
      </c>
      <c r="O286" s="105">
        <f t="shared" si="486"/>
        <v>20.612668728727272</v>
      </c>
      <c r="P286" s="105">
        <f t="shared" si="487"/>
        <v>10.761312161536466</v>
      </c>
      <c r="Q286" s="104">
        <f t="shared" si="488"/>
        <v>10.703821325272893</v>
      </c>
      <c r="R286" s="106">
        <f t="shared" si="489"/>
        <v>20.403102591198078</v>
      </c>
      <c r="S286" s="104">
        <f t="shared" si="490"/>
        <v>-6.9016842879692675E-2</v>
      </c>
      <c r="T286" s="100"/>
      <c r="U286" s="152">
        <f t="shared" si="491"/>
        <v>-9.9885841356400942</v>
      </c>
      <c r="V286" s="100"/>
    </row>
    <row r="287" spans="1:22" s="125" customFormat="1" ht="15" customHeight="1" x14ac:dyDescent="0.2">
      <c r="A287" s="154">
        <f t="shared" si="399"/>
        <v>45245.965277777781</v>
      </c>
      <c r="B287" s="119" t="s">
        <v>374</v>
      </c>
      <c r="C287" s="154">
        <v>45245</v>
      </c>
      <c r="D287" s="119" t="s">
        <v>41</v>
      </c>
      <c r="E287" s="120">
        <v>1.256</v>
      </c>
      <c r="F287" s="119">
        <v>648</v>
      </c>
      <c r="G287" s="130">
        <v>0.96527777777777779</v>
      </c>
      <c r="H287" s="121"/>
      <c r="I287" s="121"/>
      <c r="J287" s="121">
        <v>460.07</v>
      </c>
      <c r="K287" s="121">
        <v>456.85</v>
      </c>
      <c r="L287" s="121">
        <f t="shared" si="456"/>
        <v>3.2199999999999704</v>
      </c>
      <c r="M287" s="122">
        <v>35.212800000000001</v>
      </c>
      <c r="N287" s="122">
        <v>18.255700000000001</v>
      </c>
      <c r="O287" s="123">
        <f t="shared" ref="O287" si="492">((1000+M287)/$R$22)-1000</f>
        <v>25.125760775827075</v>
      </c>
      <c r="P287" s="123">
        <f t="shared" ref="P287" si="493">((1000+N287)/$U$22)-1000</f>
        <v>13.095124024730467</v>
      </c>
      <c r="Q287" s="122">
        <f t="shared" ref="Q287" si="494">1000*(LN(P287/1000+1))</f>
        <v>13.010124139972861</v>
      </c>
      <c r="R287" s="124">
        <f t="shared" ref="R287" si="495">1000*(LN(O287/1000+1))</f>
        <v>24.815298503978305</v>
      </c>
      <c r="S287" s="122">
        <f t="shared" ref="S287" si="496">Q287-0.528*R287</f>
        <v>-9.2353470127683579E-2</v>
      </c>
      <c r="T287" s="119"/>
      <c r="U287" s="155">
        <f t="shared" ref="U287" si="497">(O287-30.91)/1.03091</f>
        <v>-5.6108091144454173</v>
      </c>
      <c r="V287" s="119"/>
    </row>
    <row r="288" spans="1:22" s="125" customFormat="1" ht="15" customHeight="1" x14ac:dyDescent="0.2">
      <c r="A288" s="154">
        <f t="shared" si="399"/>
        <v>45246.017361111109</v>
      </c>
      <c r="B288" s="119" t="s">
        <v>375</v>
      </c>
      <c r="C288" s="154">
        <v>45246</v>
      </c>
      <c r="D288" s="119" t="s">
        <v>41</v>
      </c>
      <c r="E288" s="120">
        <v>1.952</v>
      </c>
      <c r="F288" s="119">
        <v>660</v>
      </c>
      <c r="G288" s="130">
        <v>1.7361111111111112E-2</v>
      </c>
      <c r="H288" s="121"/>
      <c r="I288" s="121"/>
      <c r="J288" s="121">
        <v>457.06</v>
      </c>
      <c r="K288" s="121">
        <v>456.83</v>
      </c>
      <c r="L288" s="121">
        <f t="shared" si="456"/>
        <v>0.23000000000001819</v>
      </c>
      <c r="M288" s="122">
        <v>34.967599999999997</v>
      </c>
      <c r="N288" s="122">
        <v>18.1084</v>
      </c>
      <c r="O288" s="123">
        <f t="shared" ref="O288" si="498">((1000+M288)/$R$22)-1000</f>
        <v>24.882949987028496</v>
      </c>
      <c r="P288" s="123">
        <f t="shared" ref="P288" si="499">((1000+N288)/$U$22)-1000</f>
        <v>12.948570549243982</v>
      </c>
      <c r="Q288" s="122">
        <f t="shared" ref="Q288" si="500">1000*(LN(P288/1000+1))</f>
        <v>12.865454529801443</v>
      </c>
      <c r="R288" s="124">
        <f t="shared" ref="R288" si="501">1000*(LN(O288/1000+1))</f>
        <v>24.578410935004293</v>
      </c>
      <c r="S288" s="122">
        <f t="shared" ref="S288" si="502">Q288-0.528*R288</f>
        <v>-0.11194644388082331</v>
      </c>
      <c r="T288" s="119"/>
      <c r="U288" s="155">
        <f t="shared" ref="U288" si="503">(O288-30.91)/1.03091</f>
        <v>-5.8463396542583776</v>
      </c>
      <c r="V288" s="119"/>
    </row>
    <row r="289" spans="1:22" s="145" customFormat="1" ht="15" customHeight="1" x14ac:dyDescent="0.2">
      <c r="A289" s="144">
        <f t="shared" si="399"/>
        <v>45246.791666666664</v>
      </c>
      <c r="B289" s="143" t="s">
        <v>376</v>
      </c>
      <c r="C289" s="144">
        <v>45246</v>
      </c>
      <c r="D289" s="143" t="s">
        <v>377</v>
      </c>
      <c r="E289" s="156">
        <v>16.100000000000001</v>
      </c>
      <c r="F289" s="143">
        <v>738</v>
      </c>
      <c r="G289" s="157">
        <v>0.79166666666666663</v>
      </c>
      <c r="H289" s="158"/>
      <c r="I289" s="158"/>
      <c r="J289" s="158">
        <v>461.03</v>
      </c>
      <c r="K289" s="158">
        <v>456.56</v>
      </c>
      <c r="L289" s="158">
        <f t="shared" si="456"/>
        <v>4.4699999999999704</v>
      </c>
      <c r="M289" s="146">
        <v>38.461799999999997</v>
      </c>
      <c r="N289" s="146">
        <v>19.881699999999999</v>
      </c>
      <c r="O289" s="147">
        <f t="shared" ref="O289" si="504">((1000+M289)/$R$22)-1000</f>
        <v>28.343102753013454</v>
      </c>
      <c r="P289" s="147">
        <f t="shared" ref="P289" si="505">((1000+N289)/$U$22)-1000</f>
        <v>14.71288336716691</v>
      </c>
      <c r="Q289" s="146">
        <f t="shared" ref="Q289" si="506">1000*(LN(P289/1000+1))</f>
        <v>14.605698947602242</v>
      </c>
      <c r="R289" s="148">
        <f t="shared" ref="R289" si="507">1000*(LN(O289/1000+1))</f>
        <v>27.948868890156636</v>
      </c>
      <c r="S289" s="146">
        <f t="shared" ref="S289" si="508">Q289-0.528*R289</f>
        <v>-0.15130382640046136</v>
      </c>
      <c r="T289" s="143"/>
      <c r="U289" s="159">
        <f t="shared" ref="U289" si="509">(O289-30.91)/1.03091</f>
        <v>-2.4899334054248632</v>
      </c>
      <c r="V289" s="143"/>
    </row>
    <row r="290" spans="1:22" s="145" customFormat="1" ht="15" customHeight="1" x14ac:dyDescent="0.2">
      <c r="A290" s="144">
        <f t="shared" si="399"/>
        <v>45246.847222222219</v>
      </c>
      <c r="B290" s="143" t="s">
        <v>378</v>
      </c>
      <c r="C290" s="144">
        <v>45246</v>
      </c>
      <c r="D290" s="143" t="s">
        <v>377</v>
      </c>
      <c r="E290" s="156">
        <v>16</v>
      </c>
      <c r="F290" s="143">
        <v>634</v>
      </c>
      <c r="G290" s="157">
        <v>0.84722222222222221</v>
      </c>
      <c r="H290" s="158"/>
      <c r="I290" s="158"/>
      <c r="J290" s="158">
        <v>456.62</v>
      </c>
      <c r="K290" s="158">
        <v>456.73</v>
      </c>
      <c r="L290" s="158">
        <f t="shared" si="456"/>
        <v>-0.11000000000001364</v>
      </c>
      <c r="M290" s="146">
        <v>37.449399999999997</v>
      </c>
      <c r="N290" s="146">
        <v>19.404800000000002</v>
      </c>
      <c r="O290" s="147">
        <f t="shared" ref="O290:O293" si="510">((1000+M290)/$R$22)-1000</f>
        <v>27.34056750595164</v>
      </c>
      <c r="P290" s="147">
        <f t="shared" ref="P290:P293" si="511">((1000+N290)/$U$22)-1000</f>
        <v>14.238400322635584</v>
      </c>
      <c r="Q290" s="146">
        <f t="shared" ref="Q290:Q293" si="512">1000*(LN(P290/1000+1))</f>
        <v>14.137986334692311</v>
      </c>
      <c r="R290" s="148">
        <f t="shared" ref="R290:R293" si="513">1000*(LN(O290/1000+1))</f>
        <v>26.97348990452041</v>
      </c>
      <c r="S290" s="146">
        <f t="shared" ref="S290:S293" si="514">Q290-0.528*R290</f>
        <v>-0.1040163348944656</v>
      </c>
      <c r="T290" s="143"/>
      <c r="U290" s="159">
        <f t="shared" ref="U290:U293" si="515">(O290-30.91)/1.03091</f>
        <v>-3.4624094189098567</v>
      </c>
      <c r="V290" s="143"/>
    </row>
    <row r="291" spans="1:22" s="145" customFormat="1" ht="15" customHeight="1" x14ac:dyDescent="0.2">
      <c r="A291" s="144">
        <v>45247</v>
      </c>
      <c r="B291" s="143" t="s">
        <v>379</v>
      </c>
      <c r="C291" s="144">
        <v>45247</v>
      </c>
      <c r="D291" s="143" t="s">
        <v>83</v>
      </c>
      <c r="E291" s="156">
        <v>11.7</v>
      </c>
      <c r="F291" s="143">
        <v>622</v>
      </c>
      <c r="G291" s="157">
        <v>0.45833333333333331</v>
      </c>
      <c r="H291" s="158"/>
      <c r="I291" s="158"/>
      <c r="J291" s="158">
        <v>458.23</v>
      </c>
      <c r="K291" s="158">
        <v>456.59</v>
      </c>
      <c r="L291" s="158">
        <f t="shared" si="456"/>
        <v>1.6400000000000432</v>
      </c>
      <c r="M291" s="146">
        <v>38.952100000000002</v>
      </c>
      <c r="N291" s="146">
        <v>20.1419</v>
      </c>
      <c r="O291" s="147">
        <f t="shared" si="510"/>
        <v>28.828625305003243</v>
      </c>
      <c r="P291" s="147">
        <f t="shared" si="511"/>
        <v>14.971764659234509</v>
      </c>
      <c r="Q291" s="146">
        <f t="shared" si="512"/>
        <v>14.860794037101218</v>
      </c>
      <c r="R291" s="148">
        <f t="shared" si="513"/>
        <v>28.420898088674825</v>
      </c>
      <c r="S291" s="146">
        <f t="shared" si="514"/>
        <v>-0.14544015371908969</v>
      </c>
      <c r="T291" s="143"/>
      <c r="U291" s="159">
        <f t="shared" si="515"/>
        <v>-2.0189683822998683</v>
      </c>
      <c r="V291" s="143"/>
    </row>
    <row r="292" spans="1:22" s="145" customFormat="1" ht="15" customHeight="1" x14ac:dyDescent="0.2">
      <c r="A292" s="144">
        <f t="shared" si="399"/>
        <v>45247.510416666664</v>
      </c>
      <c r="B292" s="143" t="s">
        <v>380</v>
      </c>
      <c r="C292" s="144">
        <v>45247</v>
      </c>
      <c r="D292" s="143" t="s">
        <v>83</v>
      </c>
      <c r="E292" s="156">
        <v>13.9</v>
      </c>
      <c r="F292" s="143">
        <v>560</v>
      </c>
      <c r="G292" s="157">
        <v>0.51041666666666663</v>
      </c>
      <c r="H292" s="158"/>
      <c r="I292" s="158"/>
      <c r="J292" s="158">
        <v>457.14</v>
      </c>
      <c r="K292" s="158">
        <v>456.4</v>
      </c>
      <c r="L292" s="158">
        <f t="shared" si="456"/>
        <v>0.74000000000000909</v>
      </c>
      <c r="M292" s="146">
        <v>38.210999999999999</v>
      </c>
      <c r="N292" s="146">
        <v>19.750499999999999</v>
      </c>
      <c r="O292" s="147">
        <f t="shared" si="510"/>
        <v>28.094746530213115</v>
      </c>
      <c r="P292" s="147">
        <f t="shared" si="511"/>
        <v>14.582348295993711</v>
      </c>
      <c r="Q292" s="146">
        <f t="shared" si="512"/>
        <v>14.47704830148983</v>
      </c>
      <c r="R292" s="148">
        <f t="shared" si="513"/>
        <v>27.707328671380345</v>
      </c>
      <c r="S292" s="146">
        <f t="shared" si="514"/>
        <v>-0.15242123699899324</v>
      </c>
      <c r="T292" s="143"/>
      <c r="U292" s="159">
        <f t="shared" si="515"/>
        <v>-2.730843109279069</v>
      </c>
      <c r="V292" s="143"/>
    </row>
    <row r="293" spans="1:22" s="145" customFormat="1" ht="15" customHeight="1" x14ac:dyDescent="0.2">
      <c r="A293" s="144">
        <f t="shared" si="399"/>
        <v>45247.5625</v>
      </c>
      <c r="B293" s="143" t="s">
        <v>381</v>
      </c>
      <c r="C293" s="144">
        <v>45247</v>
      </c>
      <c r="D293" s="143" t="s">
        <v>83</v>
      </c>
      <c r="E293" s="156">
        <v>14</v>
      </c>
      <c r="F293" s="143">
        <v>512</v>
      </c>
      <c r="G293" s="157">
        <v>0.5625</v>
      </c>
      <c r="H293" s="158"/>
      <c r="I293" s="158"/>
      <c r="J293" s="158">
        <v>454.76</v>
      </c>
      <c r="K293" s="158">
        <v>456.27</v>
      </c>
      <c r="L293" s="158">
        <f t="shared" si="456"/>
        <v>-1.5099999999999909</v>
      </c>
      <c r="M293" s="146">
        <v>36.819099999999999</v>
      </c>
      <c r="N293" s="146">
        <v>19.013500000000001</v>
      </c>
      <c r="O293" s="147">
        <f t="shared" si="510"/>
        <v>26.716409103913975</v>
      </c>
      <c r="P293" s="147">
        <f t="shared" si="511"/>
        <v>13.849083452589298</v>
      </c>
      <c r="Q293" s="146">
        <f t="shared" si="512"/>
        <v>13.754061205285412</v>
      </c>
      <c r="R293" s="148">
        <f t="shared" si="513"/>
        <v>26.365757569579735</v>
      </c>
      <c r="S293" s="146">
        <f t="shared" si="514"/>
        <v>-0.16705879145268909</v>
      </c>
      <c r="T293" s="143"/>
      <c r="U293" s="159">
        <f t="shared" si="515"/>
        <v>-4.0678535430697398</v>
      </c>
      <c r="V293" s="143"/>
    </row>
    <row r="294" spans="1:22" ht="15" customHeight="1" x14ac:dyDescent="0.2">
      <c r="A294" s="62">
        <f t="shared" si="399"/>
        <v>45247.635416666664</v>
      </c>
      <c r="B294" s="47" t="s">
        <v>382</v>
      </c>
      <c r="C294" s="62">
        <v>45247</v>
      </c>
      <c r="D294" s="47" t="s">
        <v>83</v>
      </c>
      <c r="E294" s="48">
        <v>1.04</v>
      </c>
      <c r="F294" s="47">
        <v>623</v>
      </c>
      <c r="G294" s="67">
        <v>0.63541666666666663</v>
      </c>
      <c r="H294" s="49"/>
      <c r="I294" s="49"/>
      <c r="J294" s="49"/>
      <c r="K294" s="49"/>
      <c r="L294" s="49"/>
      <c r="M294" s="63"/>
      <c r="N294" s="63"/>
      <c r="O294" s="50"/>
      <c r="P294" s="50"/>
      <c r="Q294" s="63"/>
      <c r="R294" s="93"/>
      <c r="S294" s="63"/>
      <c r="T294" s="47"/>
      <c r="U294" s="150"/>
      <c r="V294" s="47" t="s">
        <v>383</v>
      </c>
    </row>
    <row r="295" spans="1:22" ht="15" customHeight="1" x14ac:dyDescent="0.2">
      <c r="A295" s="62">
        <f t="shared" si="399"/>
        <v>0</v>
      </c>
      <c r="B295" s="47"/>
      <c r="C295" s="47"/>
      <c r="D295" s="47"/>
      <c r="E295" s="48"/>
      <c r="F295" s="47"/>
      <c r="G295" s="47"/>
      <c r="H295" s="49"/>
      <c r="I295" s="49"/>
      <c r="J295" s="49"/>
      <c r="K295" s="49"/>
      <c r="L295" s="49"/>
      <c r="M295" s="63"/>
      <c r="N295" s="63"/>
      <c r="O295" s="47"/>
      <c r="P295" s="47"/>
      <c r="Q295" s="47"/>
      <c r="R295" s="51"/>
      <c r="S295" s="47"/>
      <c r="T295" s="47"/>
      <c r="U295" s="51"/>
      <c r="V295" s="47"/>
    </row>
    <row r="296" spans="1:22" ht="15" customHeight="1" x14ac:dyDescent="0.2">
      <c r="A296" s="62">
        <f t="shared" si="399"/>
        <v>0</v>
      </c>
      <c r="B296" s="47"/>
      <c r="C296" s="47"/>
      <c r="D296" s="47"/>
      <c r="E296" s="48"/>
      <c r="F296" s="47"/>
      <c r="G296" s="47"/>
      <c r="H296" s="49"/>
      <c r="I296" s="49"/>
      <c r="J296" s="49"/>
      <c r="K296" s="49"/>
      <c r="L296" s="49"/>
      <c r="M296" s="63"/>
      <c r="N296" s="63"/>
      <c r="O296" s="47"/>
      <c r="P296" s="47"/>
      <c r="Q296" s="47"/>
      <c r="R296" s="51"/>
      <c r="S296" s="47"/>
      <c r="T296" s="47"/>
      <c r="U296" s="51"/>
      <c r="V296" s="47"/>
    </row>
    <row r="297" spans="1:22" ht="15" customHeight="1" x14ac:dyDescent="0.2">
      <c r="A297" s="62">
        <f t="shared" si="399"/>
        <v>0</v>
      </c>
      <c r="B297" s="47"/>
      <c r="C297" s="47"/>
      <c r="D297" s="47"/>
      <c r="E297" s="48"/>
      <c r="F297" s="47"/>
      <c r="G297" s="47"/>
      <c r="H297" s="49"/>
      <c r="I297" s="49"/>
      <c r="J297" s="49"/>
      <c r="K297" s="49"/>
      <c r="L297" s="49"/>
      <c r="M297" s="63"/>
      <c r="N297" s="63"/>
      <c r="O297" s="47"/>
      <c r="P297" s="47"/>
      <c r="Q297" s="47"/>
      <c r="R297" s="51"/>
      <c r="S297" s="47"/>
      <c r="T297" s="47"/>
      <c r="U297" s="51"/>
      <c r="V297" s="47"/>
    </row>
    <row r="298" spans="1:22" ht="15" customHeight="1" x14ac:dyDescent="0.2">
      <c r="A298" s="62">
        <f t="shared" si="399"/>
        <v>0</v>
      </c>
      <c r="B298" s="47"/>
      <c r="C298" s="47"/>
      <c r="D298" s="47"/>
      <c r="E298" s="48"/>
      <c r="F298" s="47"/>
      <c r="G298" s="47"/>
      <c r="H298" s="49"/>
      <c r="I298" s="49"/>
      <c r="J298" s="49"/>
      <c r="K298" s="49"/>
      <c r="L298" s="49"/>
      <c r="M298" s="63"/>
      <c r="N298" s="63"/>
      <c r="O298" s="47"/>
      <c r="P298" s="47"/>
      <c r="Q298" s="47"/>
      <c r="R298" s="51"/>
      <c r="S298" s="47"/>
      <c r="T298" s="47"/>
      <c r="U298" s="51"/>
      <c r="V298" s="47"/>
    </row>
    <row r="299" spans="1:22" ht="15" customHeight="1" x14ac:dyDescent="0.2">
      <c r="A299" s="62">
        <f t="shared" si="399"/>
        <v>0</v>
      </c>
      <c r="B299" s="47"/>
      <c r="C299" s="47"/>
      <c r="D299" s="47"/>
      <c r="E299" s="48"/>
      <c r="F299" s="47"/>
      <c r="G299" s="47"/>
      <c r="H299" s="49"/>
      <c r="I299" s="49"/>
      <c r="J299" s="49"/>
      <c r="K299" s="49"/>
      <c r="L299" s="49"/>
      <c r="M299" s="63"/>
      <c r="N299" s="63"/>
      <c r="O299" s="47"/>
      <c r="P299" s="47"/>
      <c r="Q299" s="47"/>
      <c r="R299" s="51"/>
      <c r="S299" s="47"/>
      <c r="T299" s="47"/>
      <c r="U299" s="51"/>
      <c r="V299" s="47"/>
    </row>
    <row r="300" spans="1:22" ht="15" customHeight="1" x14ac:dyDescent="0.2">
      <c r="A300" s="62"/>
      <c r="B300" s="47"/>
      <c r="C300" s="47"/>
      <c r="D300" s="47"/>
      <c r="E300" s="48"/>
      <c r="F300" s="47"/>
      <c r="G300" s="47"/>
      <c r="H300" s="49"/>
      <c r="I300" s="49"/>
      <c r="J300" s="49"/>
      <c r="K300" s="49"/>
      <c r="L300" s="49"/>
      <c r="M300" s="63"/>
      <c r="N300" s="63"/>
      <c r="O300" s="47"/>
      <c r="P300" s="47"/>
      <c r="Q300" s="47"/>
      <c r="R300" s="51"/>
      <c r="S300" s="47"/>
      <c r="T300" s="47"/>
      <c r="U300" s="51"/>
      <c r="V300" s="47"/>
    </row>
    <row r="301" spans="1:22" ht="15" customHeight="1" x14ac:dyDescent="0.2">
      <c r="A301" s="62"/>
      <c r="B301" s="47"/>
      <c r="C301" s="47"/>
      <c r="D301" s="47"/>
      <c r="E301" s="48"/>
      <c r="F301" s="47"/>
      <c r="G301" s="47"/>
      <c r="H301" s="49"/>
      <c r="I301" s="49"/>
      <c r="J301" s="49"/>
      <c r="K301" s="49"/>
      <c r="L301" s="49"/>
      <c r="M301" s="63"/>
      <c r="N301" s="63"/>
      <c r="O301" s="47"/>
      <c r="P301" s="47"/>
      <c r="Q301" s="47"/>
      <c r="R301" s="51"/>
      <c r="S301" s="47"/>
      <c r="T301" s="47"/>
      <c r="U301" s="51"/>
      <c r="V301" s="47"/>
    </row>
    <row r="302" spans="1:22" ht="15" customHeight="1" x14ac:dyDescent="0.2">
      <c r="A302" s="62"/>
      <c r="B302" s="47"/>
      <c r="C302" s="47"/>
      <c r="D302" s="47"/>
      <c r="E302" s="48"/>
      <c r="F302" s="47"/>
      <c r="G302" s="47"/>
      <c r="H302" s="49"/>
      <c r="I302" s="49"/>
      <c r="J302" s="49"/>
      <c r="K302" s="49"/>
      <c r="L302" s="49"/>
      <c r="M302" s="63"/>
      <c r="N302" s="63"/>
      <c r="O302" s="47"/>
      <c r="P302" s="47"/>
      <c r="Q302" s="47"/>
      <c r="R302" s="51"/>
      <c r="S302" s="47"/>
      <c r="T302" s="47"/>
      <c r="U302" s="51"/>
      <c r="V302" s="47"/>
    </row>
    <row r="303" spans="1:22" ht="15" customHeight="1" x14ac:dyDescent="0.2">
      <c r="A303" s="62"/>
      <c r="B303" s="47"/>
      <c r="C303" s="47"/>
      <c r="D303" s="47"/>
      <c r="E303" s="48"/>
      <c r="F303" s="47"/>
      <c r="G303" s="47"/>
      <c r="H303" s="49"/>
      <c r="I303" s="49"/>
      <c r="J303" s="49"/>
      <c r="K303" s="49"/>
      <c r="L303" s="49"/>
      <c r="M303" s="63"/>
      <c r="N303" s="63"/>
      <c r="O303" s="47"/>
      <c r="P303" s="47"/>
      <c r="Q303" s="47"/>
      <c r="R303" s="51"/>
      <c r="S303" s="47"/>
      <c r="T303" s="47"/>
      <c r="U303" s="51"/>
      <c r="V303" s="47"/>
    </row>
    <row r="304" spans="1:22" ht="15" customHeight="1" x14ac:dyDescent="0.2">
      <c r="A304" s="62"/>
      <c r="B304" s="47"/>
      <c r="C304" s="47"/>
      <c r="D304" s="47"/>
      <c r="E304" s="48"/>
      <c r="F304" s="47"/>
      <c r="G304" s="47"/>
      <c r="H304" s="49"/>
      <c r="I304" s="49"/>
      <c r="J304" s="49"/>
      <c r="K304" s="49"/>
      <c r="L304" s="49"/>
      <c r="M304" s="63"/>
      <c r="N304" s="63"/>
      <c r="O304" s="47"/>
      <c r="P304" s="47"/>
      <c r="Q304" s="47"/>
      <c r="R304" s="51"/>
      <c r="S304" s="47"/>
      <c r="T304" s="47"/>
      <c r="U304" s="51"/>
      <c r="V304" s="47"/>
    </row>
    <row r="305" spans="13:14" ht="15" customHeight="1" x14ac:dyDescent="0.2">
      <c r="M305" s="63"/>
      <c r="N305" s="63"/>
    </row>
    <row r="306" spans="13:14" ht="15" customHeight="1" x14ac:dyDescent="0.2">
      <c r="M306" s="63"/>
      <c r="N306" s="63"/>
    </row>
    <row r="307" spans="13:14" ht="15" customHeight="1" x14ac:dyDescent="0.2">
      <c r="M307" s="63"/>
      <c r="N307" s="63"/>
    </row>
    <row r="308" spans="13:14" ht="15" customHeight="1" x14ac:dyDescent="0.2">
      <c r="M308" s="63"/>
      <c r="N308" s="63"/>
    </row>
    <row r="309" spans="13:14" ht="15" customHeight="1" x14ac:dyDescent="0.2">
      <c r="M309" s="63"/>
      <c r="N309" s="63"/>
    </row>
    <row r="310" spans="13:14" ht="15" customHeight="1" x14ac:dyDescent="0.2">
      <c r="M310" s="63"/>
      <c r="N310" s="63"/>
    </row>
    <row r="311" spans="13:14" ht="15" customHeight="1" x14ac:dyDescent="0.2">
      <c r="M311" s="63"/>
      <c r="N311" s="63"/>
    </row>
    <row r="312" spans="13:14" ht="15" customHeight="1" x14ac:dyDescent="0.2">
      <c r="M312" s="63"/>
      <c r="N312" s="63"/>
    </row>
    <row r="313" spans="13:14" ht="15" customHeight="1" x14ac:dyDescent="0.2">
      <c r="M313" s="63"/>
      <c r="N313" s="63"/>
    </row>
    <row r="314" spans="13:14" ht="15" customHeight="1" x14ac:dyDescent="0.2">
      <c r="M314" s="63"/>
      <c r="N314" s="63"/>
    </row>
    <row r="315" spans="13:14" ht="15" customHeight="1" x14ac:dyDescent="0.2">
      <c r="M315" s="63"/>
      <c r="N315" s="63"/>
    </row>
    <row r="316" spans="13:14" ht="15" customHeight="1" x14ac:dyDescent="0.2">
      <c r="M316" s="63"/>
      <c r="N316" s="63"/>
    </row>
    <row r="317" spans="13:14" ht="15" customHeight="1" x14ac:dyDescent="0.2">
      <c r="M317" s="63"/>
      <c r="N317" s="63"/>
    </row>
    <row r="318" spans="13:14" ht="15" customHeight="1" x14ac:dyDescent="0.2">
      <c r="M318" s="63"/>
      <c r="N318" s="63"/>
    </row>
    <row r="319" spans="13:14" ht="15" customHeight="1" x14ac:dyDescent="0.2">
      <c r="M319" s="63"/>
      <c r="N319" s="63"/>
    </row>
    <row r="320" spans="13:14" ht="15" customHeight="1" x14ac:dyDescent="0.2">
      <c r="M320" s="63"/>
      <c r="N320" s="63"/>
    </row>
    <row r="321" spans="13:14" ht="15" customHeight="1" x14ac:dyDescent="0.2">
      <c r="M321" s="63"/>
      <c r="N321" s="63"/>
    </row>
    <row r="322" spans="13:14" ht="15" customHeight="1" x14ac:dyDescent="0.2">
      <c r="M322" s="63"/>
      <c r="N322" s="63"/>
    </row>
    <row r="323" spans="13:14" ht="15" customHeight="1" x14ac:dyDescent="0.2">
      <c r="M323" s="63"/>
      <c r="N323" s="63"/>
    </row>
    <row r="324" spans="13:14" ht="15" customHeight="1" x14ac:dyDescent="0.2">
      <c r="M324" s="63"/>
      <c r="N324" s="63"/>
    </row>
    <row r="325" spans="13:14" ht="15" customHeight="1" x14ac:dyDescent="0.2">
      <c r="M325" s="63"/>
      <c r="N325" s="63"/>
    </row>
    <row r="326" spans="13:14" ht="15" customHeight="1" x14ac:dyDescent="0.2">
      <c r="M326" s="63"/>
      <c r="N326" s="63"/>
    </row>
    <row r="327" spans="13:14" ht="15" customHeight="1" x14ac:dyDescent="0.2">
      <c r="M327" s="63"/>
      <c r="N327" s="63"/>
    </row>
    <row r="328" spans="13:14" ht="15" customHeight="1" x14ac:dyDescent="0.2">
      <c r="M328" s="63"/>
      <c r="N328" s="63"/>
    </row>
    <row r="329" spans="13:14" ht="15" customHeight="1" x14ac:dyDescent="0.2">
      <c r="M329" s="63"/>
      <c r="N329" s="63"/>
    </row>
    <row r="330" spans="13:14" ht="15" customHeight="1" x14ac:dyDescent="0.2">
      <c r="M330" s="63"/>
      <c r="N330" s="63"/>
    </row>
    <row r="331" spans="13:14" ht="15" customHeight="1" x14ac:dyDescent="0.2">
      <c r="M331" s="63"/>
      <c r="N331" s="63"/>
    </row>
    <row r="332" spans="13:14" ht="15" customHeight="1" x14ac:dyDescent="0.2">
      <c r="M332" s="63"/>
      <c r="N332" s="63"/>
    </row>
    <row r="333" spans="13:14" ht="15" customHeight="1" x14ac:dyDescent="0.2">
      <c r="M333" s="63"/>
      <c r="N333" s="63"/>
    </row>
    <row r="334" spans="13:14" ht="15" customHeight="1" x14ac:dyDescent="0.2">
      <c r="M334" s="63"/>
      <c r="N334" s="63"/>
    </row>
    <row r="335" spans="13:14" ht="15" customHeight="1" x14ac:dyDescent="0.2">
      <c r="M335" s="63"/>
      <c r="N335" s="63"/>
    </row>
    <row r="336" spans="13:14" ht="15" customHeight="1" x14ac:dyDescent="0.2">
      <c r="M336" s="63"/>
      <c r="N336" s="63"/>
    </row>
    <row r="337" spans="13:14" ht="15" customHeight="1" x14ac:dyDescent="0.2">
      <c r="M337" s="63"/>
      <c r="N337" s="63"/>
    </row>
    <row r="338" spans="13:14" ht="15" customHeight="1" x14ac:dyDescent="0.2">
      <c r="M338" s="63"/>
      <c r="N338" s="63"/>
    </row>
    <row r="339" spans="13:14" ht="15" customHeight="1" x14ac:dyDescent="0.2">
      <c r="M339" s="63"/>
      <c r="N339" s="63"/>
    </row>
    <row r="340" spans="13:14" ht="15" customHeight="1" x14ac:dyDescent="0.2">
      <c r="M340" s="63"/>
      <c r="N340" s="63"/>
    </row>
    <row r="341" spans="13:14" ht="15" customHeight="1" x14ac:dyDescent="0.2">
      <c r="M341" s="63"/>
      <c r="N341" s="63"/>
    </row>
    <row r="342" spans="13:14" ht="15" customHeight="1" x14ac:dyDescent="0.2">
      <c r="M342" s="63"/>
      <c r="N342" s="63"/>
    </row>
    <row r="343" spans="13:14" ht="15" customHeight="1" x14ac:dyDescent="0.2">
      <c r="M343" s="63"/>
      <c r="N343" s="63"/>
    </row>
    <row r="344" spans="13:14" ht="15" customHeight="1" x14ac:dyDescent="0.2">
      <c r="M344" s="63"/>
      <c r="N344" s="63"/>
    </row>
    <row r="345" spans="13:14" ht="15" customHeight="1" x14ac:dyDescent="0.2">
      <c r="M345" s="63"/>
      <c r="N345" s="63"/>
    </row>
    <row r="346" spans="13:14" ht="15" customHeight="1" x14ac:dyDescent="0.2">
      <c r="M346" s="63"/>
      <c r="N346" s="63"/>
    </row>
    <row r="347" spans="13:14" ht="15" customHeight="1" x14ac:dyDescent="0.2">
      <c r="M347" s="63"/>
      <c r="N347" s="63"/>
    </row>
    <row r="348" spans="13:14" ht="15" customHeight="1" x14ac:dyDescent="0.2">
      <c r="M348" s="63"/>
      <c r="N348" s="63"/>
    </row>
    <row r="349" spans="13:14" ht="15" customHeight="1" x14ac:dyDescent="0.2">
      <c r="M349" s="63"/>
      <c r="N349" s="63"/>
    </row>
    <row r="350" spans="13:14" ht="15" customHeight="1" x14ac:dyDescent="0.2">
      <c r="M350" s="63"/>
      <c r="N350" s="63"/>
    </row>
    <row r="351" spans="13:14" ht="15" customHeight="1" x14ac:dyDescent="0.2">
      <c r="M351" s="63"/>
      <c r="N351" s="63"/>
    </row>
    <row r="352" spans="13:14" ht="15" customHeight="1" x14ac:dyDescent="0.2">
      <c r="M352" s="63"/>
      <c r="N352" s="63"/>
    </row>
    <row r="353" spans="13:14" ht="15" customHeight="1" x14ac:dyDescent="0.2">
      <c r="M353" s="63"/>
      <c r="N353" s="63"/>
    </row>
    <row r="354" spans="13:14" ht="15" customHeight="1" x14ac:dyDescent="0.2">
      <c r="M354" s="63"/>
      <c r="N354" s="63"/>
    </row>
    <row r="355" spans="13:14" ht="15" customHeight="1" x14ac:dyDescent="0.2">
      <c r="M355" s="63"/>
      <c r="N355" s="63"/>
    </row>
    <row r="356" spans="13:14" ht="15" customHeight="1" x14ac:dyDescent="0.2">
      <c r="M356" s="63"/>
      <c r="N356" s="63"/>
    </row>
    <row r="357" spans="13:14" ht="15" customHeight="1" x14ac:dyDescent="0.2">
      <c r="M357" s="63"/>
      <c r="N357" s="63"/>
    </row>
    <row r="358" spans="13:14" ht="15" customHeight="1" x14ac:dyDescent="0.2">
      <c r="M358" s="63"/>
      <c r="N358" s="63"/>
    </row>
    <row r="359" spans="13:14" ht="15" customHeight="1" x14ac:dyDescent="0.2">
      <c r="M359" s="63"/>
      <c r="N359" s="63"/>
    </row>
    <row r="360" spans="13:14" ht="15" customHeight="1" x14ac:dyDescent="0.2">
      <c r="M360" s="63"/>
      <c r="N360" s="63"/>
    </row>
    <row r="361" spans="13:14" ht="15" customHeight="1" x14ac:dyDescent="0.2">
      <c r="M361" s="63"/>
      <c r="N361" s="63"/>
    </row>
    <row r="362" spans="13:14" ht="15" customHeight="1" x14ac:dyDescent="0.2">
      <c r="M362" s="63"/>
      <c r="N362" s="63"/>
    </row>
    <row r="363" spans="13:14" ht="15" customHeight="1" x14ac:dyDescent="0.2">
      <c r="M363" s="63"/>
      <c r="N363" s="63"/>
    </row>
    <row r="364" spans="13:14" ht="15" customHeight="1" x14ac:dyDescent="0.2">
      <c r="M364" s="63"/>
      <c r="N364" s="63"/>
    </row>
    <row r="365" spans="13:14" ht="15" customHeight="1" x14ac:dyDescent="0.2">
      <c r="M365" s="63"/>
      <c r="N365" s="63"/>
    </row>
    <row r="366" spans="13:14" ht="15" customHeight="1" x14ac:dyDescent="0.2">
      <c r="M366" s="63"/>
      <c r="N366" s="63"/>
    </row>
    <row r="367" spans="13:14" ht="15" customHeight="1" x14ac:dyDescent="0.2">
      <c r="M367" s="63"/>
      <c r="N367" s="63"/>
    </row>
    <row r="368" spans="13:14" ht="15" customHeight="1" x14ac:dyDescent="0.2">
      <c r="M368" s="63"/>
      <c r="N368" s="63"/>
    </row>
    <row r="369" spans="13:14" ht="15" customHeight="1" x14ac:dyDescent="0.2">
      <c r="M369" s="63"/>
      <c r="N369" s="63"/>
    </row>
    <row r="370" spans="13:14" ht="15" customHeight="1" x14ac:dyDescent="0.2">
      <c r="M370" s="63"/>
      <c r="N370" s="63"/>
    </row>
    <row r="371" spans="13:14" ht="15" customHeight="1" x14ac:dyDescent="0.2">
      <c r="M371" s="63"/>
      <c r="N371" s="63"/>
    </row>
    <row r="372" spans="13:14" ht="15" customHeight="1" x14ac:dyDescent="0.2">
      <c r="M372" s="63"/>
      <c r="N372" s="63"/>
    </row>
    <row r="373" spans="13:14" ht="15" customHeight="1" x14ac:dyDescent="0.2">
      <c r="M373" s="63"/>
      <c r="N373" s="63"/>
    </row>
    <row r="374" spans="13:14" ht="15" customHeight="1" x14ac:dyDescent="0.2">
      <c r="M374" s="63"/>
      <c r="N374" s="63"/>
    </row>
    <row r="375" spans="13:14" ht="15" customHeight="1" x14ac:dyDescent="0.2">
      <c r="M375" s="63"/>
      <c r="N375" s="63"/>
    </row>
    <row r="376" spans="13:14" ht="15" customHeight="1" x14ac:dyDescent="0.2">
      <c r="M376" s="63"/>
      <c r="N376" s="63"/>
    </row>
    <row r="377" spans="13:14" ht="15" customHeight="1" x14ac:dyDescent="0.2">
      <c r="M377" s="63"/>
      <c r="N377" s="63"/>
    </row>
    <row r="378" spans="13:14" ht="15" customHeight="1" x14ac:dyDescent="0.2">
      <c r="M378" s="63"/>
      <c r="N378" s="63"/>
    </row>
    <row r="379" spans="13:14" ht="15" customHeight="1" x14ac:dyDescent="0.2">
      <c r="M379" s="63"/>
      <c r="N379" s="63"/>
    </row>
    <row r="380" spans="13:14" ht="15" customHeight="1" x14ac:dyDescent="0.2">
      <c r="M380" s="63"/>
      <c r="N380" s="63"/>
    </row>
    <row r="381" spans="13:14" ht="15" customHeight="1" x14ac:dyDescent="0.2">
      <c r="M381" s="63"/>
      <c r="N381" s="63"/>
    </row>
    <row r="382" spans="13:14" ht="15" customHeight="1" x14ac:dyDescent="0.2">
      <c r="M382" s="63"/>
      <c r="N382" s="63"/>
    </row>
    <row r="383" spans="13:14" ht="15" customHeight="1" x14ac:dyDescent="0.2">
      <c r="M383" s="63"/>
      <c r="N383" s="63"/>
    </row>
    <row r="384" spans="13:14" ht="15" customHeight="1" x14ac:dyDescent="0.2">
      <c r="M384" s="63"/>
      <c r="N384" s="63"/>
    </row>
    <row r="385" spans="13:14" ht="15" customHeight="1" x14ac:dyDescent="0.2">
      <c r="M385" s="63"/>
      <c r="N385" s="63"/>
    </row>
    <row r="386" spans="13:14" ht="15" customHeight="1" x14ac:dyDescent="0.2">
      <c r="M386" s="63"/>
      <c r="N386" s="63"/>
    </row>
    <row r="387" spans="13:14" ht="15" customHeight="1" x14ac:dyDescent="0.2">
      <c r="M387" s="63"/>
      <c r="N387" s="63"/>
    </row>
    <row r="388" spans="13:14" ht="15" customHeight="1" x14ac:dyDescent="0.2">
      <c r="M388" s="63"/>
      <c r="N388" s="63"/>
    </row>
    <row r="389" spans="13:14" ht="15" customHeight="1" x14ac:dyDescent="0.2">
      <c r="M389" s="63"/>
      <c r="N389" s="63"/>
    </row>
    <row r="390" spans="13:14" ht="15" customHeight="1" x14ac:dyDescent="0.2">
      <c r="M390" s="63"/>
      <c r="N390" s="63"/>
    </row>
    <row r="391" spans="13:14" ht="15" customHeight="1" x14ac:dyDescent="0.2">
      <c r="M391" s="63"/>
      <c r="N391" s="63"/>
    </row>
    <row r="392" spans="13:14" ht="15" customHeight="1" x14ac:dyDescent="0.2">
      <c r="M392" s="63"/>
      <c r="N392" s="63"/>
    </row>
    <row r="393" spans="13:14" ht="15" customHeight="1" x14ac:dyDescent="0.2">
      <c r="M393" s="63"/>
      <c r="N393" s="63"/>
    </row>
    <row r="394" spans="13:14" ht="15" customHeight="1" x14ac:dyDescent="0.2">
      <c r="M394" s="63"/>
      <c r="N394" s="63"/>
    </row>
    <row r="395" spans="13:14" ht="15" customHeight="1" x14ac:dyDescent="0.2">
      <c r="M395" s="63"/>
      <c r="N395" s="63"/>
    </row>
    <row r="396" spans="13:14" ht="15" customHeight="1" x14ac:dyDescent="0.2">
      <c r="M396" s="63"/>
      <c r="N396" s="63"/>
    </row>
    <row r="397" spans="13:14" ht="15" customHeight="1" x14ac:dyDescent="0.2">
      <c r="M397" s="63"/>
      <c r="N397" s="63"/>
    </row>
    <row r="398" spans="13:14" ht="15" customHeight="1" x14ac:dyDescent="0.2">
      <c r="M398" s="63"/>
      <c r="N398" s="63"/>
    </row>
    <row r="399" spans="13:14" ht="15" customHeight="1" x14ac:dyDescent="0.2">
      <c r="M399" s="63"/>
      <c r="N399" s="63"/>
    </row>
    <row r="400" spans="13:14" ht="15" customHeight="1" x14ac:dyDescent="0.2">
      <c r="M400" s="63"/>
      <c r="N400" s="63"/>
    </row>
    <row r="401" spans="13:14" ht="15" customHeight="1" x14ac:dyDescent="0.2">
      <c r="M401" s="63"/>
      <c r="N401" s="63"/>
    </row>
    <row r="402" spans="13:14" ht="15" customHeight="1" x14ac:dyDescent="0.2">
      <c r="M402" s="63"/>
      <c r="N402" s="63"/>
    </row>
    <row r="403" spans="13:14" ht="15" customHeight="1" x14ac:dyDescent="0.2">
      <c r="M403" s="63"/>
      <c r="N403" s="63"/>
    </row>
    <row r="404" spans="13:14" ht="15" customHeight="1" x14ac:dyDescent="0.2">
      <c r="M404" s="63"/>
      <c r="N404" s="63"/>
    </row>
    <row r="405" spans="13:14" ht="15" customHeight="1" x14ac:dyDescent="0.2">
      <c r="M405" s="63"/>
      <c r="N405" s="63"/>
    </row>
    <row r="406" spans="13:14" ht="15" customHeight="1" x14ac:dyDescent="0.2">
      <c r="M406" s="63"/>
      <c r="N406" s="63"/>
    </row>
    <row r="407" spans="13:14" ht="15" customHeight="1" x14ac:dyDescent="0.2">
      <c r="M407" s="63"/>
      <c r="N407" s="63"/>
    </row>
    <row r="408" spans="13:14" ht="15" customHeight="1" x14ac:dyDescent="0.2">
      <c r="M408" s="63"/>
      <c r="N408" s="63"/>
    </row>
    <row r="409" spans="13:14" ht="15" customHeight="1" x14ac:dyDescent="0.2">
      <c r="M409" s="63"/>
      <c r="N409" s="63"/>
    </row>
    <row r="410" spans="13:14" ht="15" customHeight="1" x14ac:dyDescent="0.2">
      <c r="M410" s="63"/>
      <c r="N410" s="63"/>
    </row>
    <row r="411" spans="13:14" ht="15" customHeight="1" x14ac:dyDescent="0.2">
      <c r="M411" s="63"/>
      <c r="N411" s="63"/>
    </row>
    <row r="412" spans="13:14" ht="15" customHeight="1" x14ac:dyDescent="0.2">
      <c r="M412" s="63"/>
      <c r="N412" s="63"/>
    </row>
    <row r="413" spans="13:14" ht="15" customHeight="1" x14ac:dyDescent="0.2">
      <c r="M413" s="63"/>
      <c r="N413" s="63"/>
    </row>
    <row r="414" spans="13:14" ht="15" customHeight="1" x14ac:dyDescent="0.2">
      <c r="M414" s="63"/>
      <c r="N414" s="63"/>
    </row>
    <row r="415" spans="13:14" ht="15" customHeight="1" x14ac:dyDescent="0.2">
      <c r="M415" s="63"/>
      <c r="N415" s="63"/>
    </row>
    <row r="416" spans="13:14" ht="15" customHeight="1" x14ac:dyDescent="0.2">
      <c r="M416" s="63"/>
      <c r="N416" s="63"/>
    </row>
    <row r="417" spans="13:14" ht="15" customHeight="1" x14ac:dyDescent="0.2">
      <c r="M417" s="63"/>
      <c r="N417" s="63"/>
    </row>
    <row r="418" spans="13:14" ht="15" customHeight="1" x14ac:dyDescent="0.2">
      <c r="M418" s="63"/>
      <c r="N418" s="63"/>
    </row>
    <row r="419" spans="13:14" ht="15" customHeight="1" x14ac:dyDescent="0.2">
      <c r="M419" s="63"/>
      <c r="N419" s="63"/>
    </row>
    <row r="420" spans="13:14" ht="15" customHeight="1" x14ac:dyDescent="0.2">
      <c r="M420" s="63"/>
      <c r="N420" s="63"/>
    </row>
    <row r="421" spans="13:14" ht="15" customHeight="1" x14ac:dyDescent="0.2">
      <c r="M421" s="63"/>
      <c r="N421" s="63"/>
    </row>
    <row r="422" spans="13:14" ht="15" customHeight="1" x14ac:dyDescent="0.2">
      <c r="M422" s="63"/>
      <c r="N422" s="63"/>
    </row>
    <row r="423" spans="13:14" ht="15" customHeight="1" x14ac:dyDescent="0.2">
      <c r="M423" s="63"/>
      <c r="N423" s="63"/>
    </row>
    <row r="424" spans="13:14" ht="15" customHeight="1" x14ac:dyDescent="0.2">
      <c r="M424" s="63"/>
      <c r="N424" s="63"/>
    </row>
    <row r="425" spans="13:14" ht="15" customHeight="1" x14ac:dyDescent="0.2">
      <c r="M425" s="63"/>
      <c r="N425" s="63"/>
    </row>
    <row r="426" spans="13:14" ht="15" customHeight="1" x14ac:dyDescent="0.2">
      <c r="M426" s="63"/>
      <c r="N426" s="63"/>
    </row>
    <row r="427" spans="13:14" ht="15" customHeight="1" x14ac:dyDescent="0.2">
      <c r="M427" s="63"/>
      <c r="N427" s="63"/>
    </row>
    <row r="428" spans="13:14" ht="15" customHeight="1" x14ac:dyDescent="0.2">
      <c r="M428" s="63"/>
      <c r="N428" s="63"/>
    </row>
    <row r="429" spans="13:14" ht="15" customHeight="1" x14ac:dyDescent="0.2">
      <c r="M429" s="63"/>
      <c r="N429" s="63"/>
    </row>
    <row r="430" spans="13:14" ht="15" customHeight="1" x14ac:dyDescent="0.2">
      <c r="M430" s="63"/>
      <c r="N430" s="63"/>
    </row>
    <row r="431" spans="13:14" ht="15" customHeight="1" x14ac:dyDescent="0.2">
      <c r="M431" s="63"/>
      <c r="N431" s="63"/>
    </row>
    <row r="432" spans="13:14" ht="15" customHeight="1" x14ac:dyDescent="0.2">
      <c r="M432" s="63"/>
      <c r="N432" s="63"/>
    </row>
    <row r="433" spans="13:14" ht="15" customHeight="1" x14ac:dyDescent="0.2">
      <c r="M433" s="63"/>
      <c r="N433" s="63"/>
    </row>
    <row r="434" spans="13:14" ht="15" customHeight="1" x14ac:dyDescent="0.2">
      <c r="M434" s="63"/>
      <c r="N434" s="63"/>
    </row>
    <row r="435" spans="13:14" ht="15" customHeight="1" x14ac:dyDescent="0.2">
      <c r="M435" s="63"/>
      <c r="N435" s="63"/>
    </row>
    <row r="436" spans="13:14" ht="15" customHeight="1" x14ac:dyDescent="0.2">
      <c r="M436" s="63"/>
      <c r="N436" s="63"/>
    </row>
    <row r="437" spans="13:14" ht="15" customHeight="1" x14ac:dyDescent="0.2">
      <c r="M437" s="63"/>
      <c r="N437" s="63"/>
    </row>
    <row r="438" spans="13:14" ht="15" customHeight="1" x14ac:dyDescent="0.2">
      <c r="M438" s="63"/>
      <c r="N438" s="63"/>
    </row>
    <row r="439" spans="13:14" ht="15" customHeight="1" x14ac:dyDescent="0.2">
      <c r="M439" s="63"/>
      <c r="N439" s="63"/>
    </row>
    <row r="440" spans="13:14" ht="15" customHeight="1" x14ac:dyDescent="0.2">
      <c r="M440" s="63"/>
      <c r="N440" s="63"/>
    </row>
    <row r="441" spans="13:14" ht="15" customHeight="1" x14ac:dyDescent="0.2">
      <c r="M441" s="63"/>
      <c r="N441" s="63"/>
    </row>
    <row r="442" spans="13:14" ht="15" customHeight="1" x14ac:dyDescent="0.2">
      <c r="M442" s="63"/>
      <c r="N442" s="63"/>
    </row>
    <row r="443" spans="13:14" ht="15" customHeight="1" x14ac:dyDescent="0.2">
      <c r="M443" s="63"/>
      <c r="N443" s="63"/>
    </row>
    <row r="444" spans="13:14" ht="15" customHeight="1" x14ac:dyDescent="0.2">
      <c r="M444" s="63"/>
      <c r="N444" s="63"/>
    </row>
    <row r="445" spans="13:14" ht="15" customHeight="1" x14ac:dyDescent="0.2">
      <c r="M445" s="63"/>
      <c r="N445" s="63"/>
    </row>
    <row r="446" spans="13:14" ht="15" customHeight="1" x14ac:dyDescent="0.2">
      <c r="M446" s="63"/>
      <c r="N446" s="63"/>
    </row>
    <row r="447" spans="13:14" ht="15" customHeight="1" x14ac:dyDescent="0.2">
      <c r="M447" s="63"/>
      <c r="N447" s="63"/>
    </row>
    <row r="448" spans="13:14" ht="15" customHeight="1" x14ac:dyDescent="0.2">
      <c r="M448" s="63"/>
      <c r="N448" s="63"/>
    </row>
    <row r="449" spans="13:14" ht="15" customHeight="1" x14ac:dyDescent="0.2">
      <c r="M449" s="63"/>
      <c r="N449" s="63"/>
    </row>
    <row r="450" spans="13:14" ht="15" customHeight="1" x14ac:dyDescent="0.2">
      <c r="M450" s="63"/>
      <c r="N450" s="63"/>
    </row>
    <row r="451" spans="13:14" ht="15" customHeight="1" x14ac:dyDescent="0.2">
      <c r="M451" s="63"/>
      <c r="N451" s="63"/>
    </row>
    <row r="452" spans="13:14" ht="15" customHeight="1" x14ac:dyDescent="0.2">
      <c r="M452" s="63"/>
      <c r="N452" s="63"/>
    </row>
    <row r="453" spans="13:14" ht="15" customHeight="1" x14ac:dyDescent="0.2">
      <c r="M453" s="63"/>
      <c r="N453" s="63"/>
    </row>
    <row r="454" spans="13:14" ht="15" customHeight="1" x14ac:dyDescent="0.2">
      <c r="M454" s="63"/>
      <c r="N454" s="63"/>
    </row>
    <row r="455" spans="13:14" ht="15" customHeight="1" x14ac:dyDescent="0.2">
      <c r="M455" s="63"/>
      <c r="N455" s="63"/>
    </row>
    <row r="456" spans="13:14" ht="15" customHeight="1" x14ac:dyDescent="0.2">
      <c r="M456" s="63"/>
      <c r="N456" s="63"/>
    </row>
    <row r="457" spans="13:14" ht="15" customHeight="1" x14ac:dyDescent="0.2">
      <c r="M457" s="63"/>
      <c r="N457" s="63"/>
    </row>
    <row r="458" spans="13:14" ht="15" customHeight="1" x14ac:dyDescent="0.2">
      <c r="M458" s="63"/>
      <c r="N458" s="63"/>
    </row>
    <row r="459" spans="13:14" ht="15" customHeight="1" x14ac:dyDescent="0.2">
      <c r="M459" s="63"/>
      <c r="N459" s="63"/>
    </row>
    <row r="460" spans="13:14" ht="15" customHeight="1" x14ac:dyDescent="0.2">
      <c r="M460" s="63"/>
      <c r="N460" s="63"/>
    </row>
    <row r="461" spans="13:14" ht="15" customHeight="1" x14ac:dyDescent="0.2">
      <c r="M461" s="63"/>
      <c r="N461" s="63"/>
    </row>
    <row r="462" spans="13:14" ht="15" customHeight="1" x14ac:dyDescent="0.2">
      <c r="M462" s="63"/>
      <c r="N462" s="63"/>
    </row>
    <row r="463" spans="13:14" ht="15" customHeight="1" x14ac:dyDescent="0.2">
      <c r="M463" s="63"/>
      <c r="N463" s="63"/>
    </row>
    <row r="464" spans="13:14" ht="15" customHeight="1" x14ac:dyDescent="0.2">
      <c r="M464" s="63"/>
      <c r="N464" s="63"/>
    </row>
    <row r="465" spans="13:14" ht="15" customHeight="1" x14ac:dyDescent="0.2">
      <c r="M465" s="63"/>
      <c r="N465" s="63"/>
    </row>
    <row r="466" spans="13:14" ht="15" customHeight="1" x14ac:dyDescent="0.2">
      <c r="M466" s="63"/>
      <c r="N466" s="63"/>
    </row>
    <row r="467" spans="13:14" ht="15" customHeight="1" x14ac:dyDescent="0.2">
      <c r="M467" s="63"/>
      <c r="N467" s="63"/>
    </row>
    <row r="468" spans="13:14" ht="15" customHeight="1" x14ac:dyDescent="0.2">
      <c r="M468" s="63"/>
      <c r="N468" s="63"/>
    </row>
    <row r="469" spans="13:14" ht="15" customHeight="1" x14ac:dyDescent="0.2">
      <c r="M469" s="63"/>
      <c r="N469" s="63"/>
    </row>
    <row r="470" spans="13:14" ht="15" customHeight="1" x14ac:dyDescent="0.2">
      <c r="M470" s="63"/>
      <c r="N470" s="63"/>
    </row>
    <row r="471" spans="13:14" ht="15" customHeight="1" x14ac:dyDescent="0.2">
      <c r="M471" s="63"/>
      <c r="N471" s="63"/>
    </row>
    <row r="472" spans="13:14" ht="15" customHeight="1" x14ac:dyDescent="0.2">
      <c r="M472" s="63"/>
      <c r="N472" s="63"/>
    </row>
    <row r="473" spans="13:14" ht="15" customHeight="1" x14ac:dyDescent="0.2">
      <c r="M473" s="63"/>
      <c r="N473" s="63"/>
    </row>
    <row r="474" spans="13:14" ht="15" customHeight="1" x14ac:dyDescent="0.2">
      <c r="M474" s="63"/>
      <c r="N474" s="63"/>
    </row>
    <row r="475" spans="13:14" ht="15" customHeight="1" x14ac:dyDescent="0.2">
      <c r="M475" s="63"/>
      <c r="N475" s="63"/>
    </row>
    <row r="476" spans="13:14" ht="15" customHeight="1" x14ac:dyDescent="0.2">
      <c r="M476" s="63"/>
      <c r="N476" s="63"/>
    </row>
    <row r="477" spans="13:14" ht="15" customHeight="1" x14ac:dyDescent="0.2">
      <c r="M477" s="63"/>
      <c r="N477" s="63"/>
    </row>
    <row r="478" spans="13:14" ht="15" customHeight="1" x14ac:dyDescent="0.2">
      <c r="M478" s="63"/>
      <c r="N478" s="63"/>
    </row>
    <row r="479" spans="13:14" ht="15" customHeight="1" x14ac:dyDescent="0.2">
      <c r="M479" s="63"/>
      <c r="N479" s="63"/>
    </row>
    <row r="480" spans="13:14" ht="15" customHeight="1" x14ac:dyDescent="0.2">
      <c r="M480" s="63"/>
      <c r="N480" s="63"/>
    </row>
    <row r="481" spans="13:14" ht="15" customHeight="1" x14ac:dyDescent="0.2">
      <c r="M481" s="63"/>
      <c r="N481" s="63"/>
    </row>
    <row r="482" spans="13:14" ht="15" customHeight="1" x14ac:dyDescent="0.2">
      <c r="M482" s="63"/>
      <c r="N482" s="63"/>
    </row>
    <row r="483" spans="13:14" ht="15" customHeight="1" x14ac:dyDescent="0.2">
      <c r="M483" s="63"/>
      <c r="N483" s="63"/>
    </row>
    <row r="484" spans="13:14" ht="15" customHeight="1" x14ac:dyDescent="0.2">
      <c r="M484" s="63"/>
      <c r="N484" s="63"/>
    </row>
    <row r="485" spans="13:14" ht="15" customHeight="1" x14ac:dyDescent="0.2">
      <c r="M485" s="63"/>
      <c r="N485" s="63"/>
    </row>
    <row r="486" spans="13:14" ht="15" customHeight="1" x14ac:dyDescent="0.2">
      <c r="M486" s="63"/>
      <c r="N486" s="63"/>
    </row>
    <row r="487" spans="13:14" ht="15" customHeight="1" x14ac:dyDescent="0.2">
      <c r="M487" s="63"/>
      <c r="N487" s="63"/>
    </row>
    <row r="488" spans="13:14" ht="15" customHeight="1" x14ac:dyDescent="0.2">
      <c r="M488" s="63"/>
      <c r="N488" s="63"/>
    </row>
    <row r="489" spans="13:14" ht="15" customHeight="1" x14ac:dyDescent="0.2">
      <c r="M489" s="63"/>
      <c r="N489" s="63"/>
    </row>
    <row r="490" spans="13:14" ht="15" customHeight="1" x14ac:dyDescent="0.2">
      <c r="M490" s="63"/>
      <c r="N490" s="63"/>
    </row>
    <row r="491" spans="13:14" ht="15" customHeight="1" x14ac:dyDescent="0.2">
      <c r="M491" s="63"/>
      <c r="N491" s="63"/>
    </row>
    <row r="492" spans="13:14" ht="15" customHeight="1" x14ac:dyDescent="0.2">
      <c r="M492" s="63"/>
      <c r="N492" s="63"/>
    </row>
    <row r="493" spans="13:14" ht="15" customHeight="1" x14ac:dyDescent="0.2">
      <c r="M493" s="63"/>
      <c r="N493" s="63"/>
    </row>
    <row r="494" spans="13:14" ht="15" customHeight="1" x14ac:dyDescent="0.2">
      <c r="M494" s="63"/>
      <c r="N494" s="63"/>
    </row>
    <row r="495" spans="13:14" ht="15" customHeight="1" x14ac:dyDescent="0.2">
      <c r="M495" s="63"/>
      <c r="N495" s="63"/>
    </row>
    <row r="496" spans="13:14" ht="15" customHeight="1" x14ac:dyDescent="0.2">
      <c r="M496" s="63"/>
      <c r="N496" s="63"/>
    </row>
    <row r="497" spans="13:14" ht="15" customHeight="1" x14ac:dyDescent="0.2">
      <c r="M497" s="63"/>
      <c r="N497" s="63"/>
    </row>
    <row r="498" spans="13:14" ht="15" customHeight="1" x14ac:dyDescent="0.2">
      <c r="M498" s="63"/>
      <c r="N498" s="63"/>
    </row>
    <row r="499" spans="13:14" ht="15" customHeight="1" x14ac:dyDescent="0.2">
      <c r="M499" s="63"/>
      <c r="N499" s="63"/>
    </row>
    <row r="500" spans="13:14" ht="15" customHeight="1" x14ac:dyDescent="0.2">
      <c r="M500" s="63"/>
      <c r="N500" s="63"/>
    </row>
    <row r="501" spans="13:14" ht="15" customHeight="1" x14ac:dyDescent="0.2">
      <c r="M501" s="63"/>
      <c r="N501" s="63"/>
    </row>
    <row r="502" spans="13:14" ht="15" customHeight="1" x14ac:dyDescent="0.2">
      <c r="M502" s="63"/>
      <c r="N502" s="63"/>
    </row>
    <row r="503" spans="13:14" ht="15" customHeight="1" x14ac:dyDescent="0.2">
      <c r="M503" s="63"/>
      <c r="N503" s="63"/>
    </row>
    <row r="504" spans="13:14" ht="15" customHeight="1" x14ac:dyDescent="0.2">
      <c r="M504" s="63"/>
      <c r="N504" s="63"/>
    </row>
    <row r="505" spans="13:14" ht="15" customHeight="1" x14ac:dyDescent="0.2">
      <c r="M505" s="63"/>
      <c r="N505" s="63"/>
    </row>
    <row r="506" spans="13:14" ht="15" customHeight="1" x14ac:dyDescent="0.2">
      <c r="M506" s="63"/>
      <c r="N506" s="63"/>
    </row>
    <row r="507" spans="13:14" ht="15" customHeight="1" x14ac:dyDescent="0.2">
      <c r="M507" s="63"/>
      <c r="N507" s="63"/>
    </row>
    <row r="508" spans="13:14" ht="15" customHeight="1" x14ac:dyDescent="0.2">
      <c r="M508" s="63"/>
      <c r="N508" s="63"/>
    </row>
    <row r="509" spans="13:14" ht="15" customHeight="1" x14ac:dyDescent="0.2">
      <c r="M509" s="63"/>
      <c r="N509" s="63"/>
    </row>
    <row r="510" spans="13:14" ht="15" customHeight="1" x14ac:dyDescent="0.2">
      <c r="M510" s="63"/>
      <c r="N510" s="63"/>
    </row>
    <row r="511" spans="13:14" ht="15" customHeight="1" x14ac:dyDescent="0.2">
      <c r="M511" s="63"/>
      <c r="N511" s="63"/>
    </row>
    <row r="512" spans="13:14" ht="15" customHeight="1" x14ac:dyDescent="0.2">
      <c r="M512" s="63"/>
      <c r="N512" s="63"/>
    </row>
    <row r="513" spans="13:14" ht="15" customHeight="1" x14ac:dyDescent="0.2">
      <c r="M513" s="63"/>
      <c r="N513" s="63"/>
    </row>
    <row r="514" spans="13:14" ht="15" customHeight="1" x14ac:dyDescent="0.2">
      <c r="M514" s="63"/>
      <c r="N514" s="63"/>
    </row>
    <row r="515" spans="13:14" ht="15" customHeight="1" x14ac:dyDescent="0.2">
      <c r="M515" s="63"/>
      <c r="N515" s="63"/>
    </row>
    <row r="516" spans="13:14" ht="15" customHeight="1" x14ac:dyDescent="0.2">
      <c r="M516" s="63"/>
      <c r="N516" s="63"/>
    </row>
    <row r="517" spans="13:14" ht="15" customHeight="1" x14ac:dyDescent="0.2">
      <c r="M517" s="63"/>
      <c r="N517" s="63"/>
    </row>
    <row r="518" spans="13:14" ht="15" customHeight="1" x14ac:dyDescent="0.2">
      <c r="M518" s="63"/>
      <c r="N518" s="63"/>
    </row>
    <row r="519" spans="13:14" ht="15" customHeight="1" x14ac:dyDescent="0.2">
      <c r="M519" s="63"/>
      <c r="N519" s="63"/>
    </row>
    <row r="520" spans="13:14" ht="15" customHeight="1" x14ac:dyDescent="0.2">
      <c r="M520" s="63"/>
      <c r="N520" s="63"/>
    </row>
    <row r="521" spans="13:14" ht="15" customHeight="1" x14ac:dyDescent="0.2">
      <c r="M521" s="63"/>
      <c r="N521" s="63"/>
    </row>
    <row r="522" spans="13:14" ht="15" customHeight="1" x14ac:dyDescent="0.2">
      <c r="M522" s="63"/>
      <c r="N522" s="63"/>
    </row>
    <row r="523" spans="13:14" ht="15" customHeight="1" x14ac:dyDescent="0.2">
      <c r="M523" s="63"/>
      <c r="N523" s="63"/>
    </row>
    <row r="524" spans="13:14" ht="15" customHeight="1" x14ac:dyDescent="0.2">
      <c r="M524" s="63"/>
      <c r="N524" s="63"/>
    </row>
    <row r="525" spans="13:14" ht="15" customHeight="1" x14ac:dyDescent="0.2">
      <c r="M525" s="63"/>
      <c r="N525" s="63"/>
    </row>
    <row r="526" spans="13:14" ht="15" customHeight="1" x14ac:dyDescent="0.2">
      <c r="M526" s="63"/>
      <c r="N526" s="63"/>
    </row>
    <row r="527" spans="13:14" ht="15" customHeight="1" x14ac:dyDescent="0.2">
      <c r="M527" s="63"/>
      <c r="N527" s="63"/>
    </row>
    <row r="528" spans="13:14" ht="15" customHeight="1" x14ac:dyDescent="0.2">
      <c r="M528" s="63"/>
      <c r="N528" s="63"/>
    </row>
    <row r="529" spans="13:14" ht="15" customHeight="1" x14ac:dyDescent="0.2">
      <c r="M529" s="63"/>
      <c r="N529" s="63"/>
    </row>
    <row r="530" spans="13:14" ht="15" customHeight="1" x14ac:dyDescent="0.2">
      <c r="M530" s="63"/>
      <c r="N530" s="63"/>
    </row>
    <row r="531" spans="13:14" ht="15" customHeight="1" x14ac:dyDescent="0.2">
      <c r="M531" s="63"/>
      <c r="N531" s="63"/>
    </row>
    <row r="532" spans="13:14" ht="15" customHeight="1" x14ac:dyDescent="0.2">
      <c r="M532" s="63"/>
      <c r="N532" s="63"/>
    </row>
    <row r="533" spans="13:14" ht="15" customHeight="1" x14ac:dyDescent="0.2">
      <c r="M533" s="63"/>
      <c r="N533" s="63"/>
    </row>
    <row r="534" spans="13:14" ht="15" customHeight="1" x14ac:dyDescent="0.2">
      <c r="M534" s="63"/>
      <c r="N534" s="63"/>
    </row>
    <row r="535" spans="13:14" ht="15" customHeight="1" x14ac:dyDescent="0.2">
      <c r="M535" s="63"/>
      <c r="N535" s="63"/>
    </row>
    <row r="536" spans="13:14" ht="15" customHeight="1" x14ac:dyDescent="0.2">
      <c r="M536" s="63"/>
      <c r="N536" s="63"/>
    </row>
    <row r="537" spans="13:14" ht="15" customHeight="1" x14ac:dyDescent="0.2">
      <c r="M537" s="63"/>
      <c r="N537" s="63"/>
    </row>
    <row r="538" spans="13:14" ht="15" customHeight="1" x14ac:dyDescent="0.2">
      <c r="M538" s="63"/>
      <c r="N538" s="63"/>
    </row>
    <row r="539" spans="13:14" ht="15" customHeight="1" x14ac:dyDescent="0.2">
      <c r="M539" s="63"/>
      <c r="N539" s="63"/>
    </row>
    <row r="540" spans="13:14" ht="15" customHeight="1" x14ac:dyDescent="0.2">
      <c r="M540" s="63"/>
      <c r="N540" s="63"/>
    </row>
    <row r="541" spans="13:14" ht="15" customHeight="1" x14ac:dyDescent="0.2">
      <c r="M541" s="63"/>
      <c r="N541" s="63"/>
    </row>
    <row r="542" spans="13:14" ht="15" customHeight="1" x14ac:dyDescent="0.2">
      <c r="M542" s="63"/>
      <c r="N542" s="63"/>
    </row>
    <row r="543" spans="13:14" ht="15" customHeight="1" x14ac:dyDescent="0.2">
      <c r="M543" s="63"/>
      <c r="N543" s="63"/>
    </row>
    <row r="544" spans="13:14" ht="15" customHeight="1" x14ac:dyDescent="0.2">
      <c r="M544" s="63"/>
      <c r="N544" s="63"/>
    </row>
    <row r="545" spans="13:14" ht="15" customHeight="1" x14ac:dyDescent="0.2">
      <c r="M545" s="63"/>
      <c r="N545" s="63"/>
    </row>
    <row r="546" spans="13:14" ht="15" customHeight="1" x14ac:dyDescent="0.2">
      <c r="M546" s="63"/>
      <c r="N546" s="63"/>
    </row>
    <row r="547" spans="13:14" ht="15" customHeight="1" x14ac:dyDescent="0.2">
      <c r="M547" s="63"/>
      <c r="N547" s="63"/>
    </row>
    <row r="548" spans="13:14" ht="15" customHeight="1" x14ac:dyDescent="0.2">
      <c r="M548" s="63"/>
      <c r="N548" s="63"/>
    </row>
    <row r="549" spans="13:14" ht="15" customHeight="1" x14ac:dyDescent="0.2">
      <c r="M549" s="63"/>
      <c r="N549" s="63"/>
    </row>
    <row r="550" spans="13:14" ht="15" customHeight="1" x14ac:dyDescent="0.2">
      <c r="M550" s="63"/>
      <c r="N550" s="63"/>
    </row>
    <row r="551" spans="13:14" ht="15" customHeight="1" x14ac:dyDescent="0.2">
      <c r="M551" s="63"/>
      <c r="N551" s="63"/>
    </row>
    <row r="552" spans="13:14" ht="15" customHeight="1" x14ac:dyDescent="0.2">
      <c r="M552" s="63"/>
      <c r="N552" s="63"/>
    </row>
    <row r="553" spans="13:14" ht="15" customHeight="1" x14ac:dyDescent="0.2">
      <c r="M553" s="63"/>
      <c r="N553" s="63"/>
    </row>
    <row r="554" spans="13:14" ht="15" customHeight="1" x14ac:dyDescent="0.2">
      <c r="M554" s="63"/>
      <c r="N554" s="63"/>
    </row>
    <row r="555" spans="13:14" ht="15" customHeight="1" x14ac:dyDescent="0.2">
      <c r="M555" s="63"/>
      <c r="N555" s="63"/>
    </row>
    <row r="556" spans="13:14" ht="15" customHeight="1" x14ac:dyDescent="0.2">
      <c r="M556" s="63"/>
      <c r="N556" s="63"/>
    </row>
  </sheetData>
  <phoneticPr fontId="18" type="noConversion"/>
  <conditionalFormatting sqref="V25 V75 V28:V33 V7:V20 V35:V51 V53:V58 V61:V71">
    <cfRule type="colorScale" priority="97">
      <colorScale>
        <cfvo type="min"/>
        <cfvo type="percentile" val="50"/>
        <cfvo type="max"/>
        <color rgb="FFF8696B"/>
        <color rgb="FFFFEB84"/>
        <color rgb="FF63BE7B"/>
      </colorScale>
    </cfRule>
  </conditionalFormatting>
  <conditionalFormatting sqref="V34">
    <cfRule type="colorScale" priority="9">
      <colorScale>
        <cfvo type="min"/>
        <cfvo type="percentile" val="50"/>
        <cfvo type="max"/>
        <color rgb="FFF8696B"/>
        <color rgb="FFFFEB84"/>
        <color rgb="FF63BE7B"/>
      </colorScale>
    </cfRule>
  </conditionalFormatting>
  <conditionalFormatting sqref="V52">
    <cfRule type="colorScale" priority="6">
      <colorScale>
        <cfvo type="min"/>
        <cfvo type="percentile" val="50"/>
        <cfvo type="max"/>
        <color rgb="FFF8696B"/>
        <color rgb="FFFFEB84"/>
        <color rgb="FF63BE7B"/>
      </colorScale>
    </cfRule>
  </conditionalFormatting>
  <conditionalFormatting sqref="V59:V60">
    <cfRule type="colorScale" priority="3">
      <colorScale>
        <cfvo type="min"/>
        <cfvo type="percentile" val="50"/>
        <cfvo type="max"/>
        <color rgb="FFF8696B"/>
        <color rgb="FFFFEB84"/>
        <color rgb="FF63BE7B"/>
      </colorScale>
    </cfRule>
  </conditionalFormatting>
  <conditionalFormatting sqref="V75">
    <cfRule type="colorScale" priority="16">
      <colorScale>
        <cfvo type="min"/>
        <cfvo type="percentile" val="50"/>
        <cfvo type="max"/>
        <color rgb="FFF8696B"/>
        <color rgb="FFFFEB84"/>
        <color rgb="FF63BE7B"/>
      </colorScale>
    </cfRule>
  </conditionalFormatting>
  <conditionalFormatting sqref="AA7:AA20">
    <cfRule type="colorScale" priority="103">
      <colorScale>
        <cfvo type="min"/>
        <cfvo type="percentile" val="50"/>
        <cfvo type="max"/>
        <color rgb="FFF8696B"/>
        <color rgb="FFFFEB84"/>
        <color rgb="FF63BE7B"/>
      </colorScale>
    </cfRule>
  </conditionalFormatting>
  <conditionalFormatting sqref="AA28:AA33 AA26 AA7:AA20 AA35:AA45 AA58">
    <cfRule type="colorScale" priority="105">
      <colorScale>
        <cfvo type="min"/>
        <cfvo type="percentile" val="50"/>
        <cfvo type="max"/>
        <color rgb="FFF8696B"/>
        <color rgb="FFFFEB84"/>
        <color rgb="FF63BE7B"/>
      </colorScale>
    </cfRule>
    <cfRule type="colorScale" priority="106">
      <colorScale>
        <cfvo type="min"/>
        <cfvo type="percentile" val="50"/>
        <cfvo type="max"/>
        <color rgb="FFF8696B"/>
        <color rgb="FFFFEB84"/>
        <color rgb="FF63BE7B"/>
      </colorScale>
    </cfRule>
  </conditionalFormatting>
  <conditionalFormatting sqref="AA34">
    <cfRule type="colorScale" priority="10">
      <colorScale>
        <cfvo type="min"/>
        <cfvo type="percentile" val="50"/>
        <cfvo type="max"/>
        <color rgb="FFF8696B"/>
        <color rgb="FFFFEB84"/>
        <color rgb="FF63BE7B"/>
      </colorScale>
    </cfRule>
    <cfRule type="colorScale" priority="11">
      <colorScale>
        <cfvo type="min"/>
        <cfvo type="percentile" val="50"/>
        <cfvo type="max"/>
        <color rgb="FFF8696B"/>
        <color rgb="FFFFEB84"/>
        <color rgb="FF63BE7B"/>
      </colorScale>
    </cfRule>
  </conditionalFormatting>
  <conditionalFormatting sqref="AA46:AA51 AA53:AA57">
    <cfRule type="colorScale" priority="7">
      <colorScale>
        <cfvo type="min"/>
        <cfvo type="percentile" val="50"/>
        <cfvo type="max"/>
        <color rgb="FFF8696B"/>
        <color rgb="FFFFEB84"/>
        <color rgb="FF63BE7B"/>
      </colorScale>
    </cfRule>
    <cfRule type="colorScale" priority="8">
      <colorScale>
        <cfvo type="min"/>
        <cfvo type="percentile" val="50"/>
        <cfvo type="max"/>
        <color rgb="FFF8696B"/>
        <color rgb="FFFFEB84"/>
        <color rgb="FF63BE7B"/>
      </colorScale>
    </cfRule>
  </conditionalFormatting>
  <conditionalFormatting sqref="AA52">
    <cfRule type="colorScale" priority="4">
      <colorScale>
        <cfvo type="min"/>
        <cfvo type="percentile" val="50"/>
        <cfvo type="max"/>
        <color rgb="FFF8696B"/>
        <color rgb="FFFFEB84"/>
        <color rgb="FF63BE7B"/>
      </colorScale>
    </cfRule>
    <cfRule type="colorScale" priority="5">
      <colorScale>
        <cfvo type="min"/>
        <cfvo type="percentile" val="50"/>
        <cfvo type="max"/>
        <color rgb="FFF8696B"/>
        <color rgb="FFFFEB84"/>
        <color rgb="FF63BE7B"/>
      </colorScale>
    </cfRule>
  </conditionalFormatting>
  <conditionalFormatting sqref="AA59:AA71">
    <cfRule type="colorScale" priority="1">
      <colorScale>
        <cfvo type="min"/>
        <cfvo type="percentile" val="50"/>
        <cfvo type="max"/>
        <color rgb="FFF8696B"/>
        <color rgb="FFFFEB84"/>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B3E5-72AB-EB49-ACD5-247D3661A019}">
  <sheetPr codeName="Sheet2"/>
  <dimension ref="A1:L43"/>
  <sheetViews>
    <sheetView workbookViewId="0">
      <selection activeCell="F39" sqref="A38:F39"/>
    </sheetView>
  </sheetViews>
  <sheetFormatPr baseColWidth="10" defaultColWidth="10.83203125" defaultRowHeight="16" x14ac:dyDescent="0.2"/>
  <cols>
    <col min="1" max="1" width="10.83203125" style="9"/>
    <col min="2" max="2" width="10.83203125" style="38"/>
    <col min="3" max="3" width="10.83203125" style="39"/>
    <col min="4" max="4" width="10.83203125" style="9"/>
    <col min="5" max="6" width="10.83203125" style="40"/>
    <col min="7" max="8" width="10.83203125" style="9"/>
    <col min="9" max="9" width="10.83203125" style="10"/>
    <col min="10" max="10" width="10.83203125" style="11"/>
    <col min="11" max="11" width="10.83203125" style="10"/>
    <col min="12" max="12" width="10.83203125" style="11"/>
    <col min="13" max="16384" width="10.83203125" style="9"/>
  </cols>
  <sheetData>
    <row r="1" spans="1:11" x14ac:dyDescent="0.2">
      <c r="A1" s="7" t="s">
        <v>5</v>
      </c>
      <c r="B1" s="38" t="s">
        <v>6</v>
      </c>
      <c r="C1" s="39" t="s">
        <v>10</v>
      </c>
      <c r="D1" s="8">
        <v>45234</v>
      </c>
      <c r="E1" s="40" t="s">
        <v>19</v>
      </c>
      <c r="F1" s="40" t="s">
        <v>22</v>
      </c>
    </row>
    <row r="2" spans="1:11" x14ac:dyDescent="0.2">
      <c r="A2" s="12" t="s">
        <v>384</v>
      </c>
      <c r="B2" s="38">
        <v>45234</v>
      </c>
      <c r="C2" s="39">
        <v>0.29166666666666669</v>
      </c>
      <c r="D2" s="13">
        <f t="shared" ref="D2:D35" si="0">C2+B2-$D$1</f>
        <v>0.29166666666424135</v>
      </c>
      <c r="E2" s="40">
        <v>1.009883638234512</v>
      </c>
      <c r="F2" s="40">
        <v>1.0050698052561065</v>
      </c>
      <c r="J2" s="10"/>
      <c r="K2" s="11"/>
    </row>
    <row r="3" spans="1:11" x14ac:dyDescent="0.2">
      <c r="A3" s="12" t="s">
        <v>384</v>
      </c>
      <c r="B3" s="38">
        <v>45234</v>
      </c>
      <c r="C3" s="39">
        <v>0.35416666666666669</v>
      </c>
      <c r="D3" s="13">
        <f t="shared" si="0"/>
        <v>0.35416666666424135</v>
      </c>
      <c r="E3" s="40">
        <v>1.0097390801104142</v>
      </c>
      <c r="F3" s="40">
        <v>1.0050779832096863</v>
      </c>
    </row>
    <row r="4" spans="1:11" x14ac:dyDescent="0.2">
      <c r="A4" s="14" t="s">
        <v>385</v>
      </c>
      <c r="B4" s="38">
        <v>45234</v>
      </c>
      <c r="C4" s="39">
        <v>0.41666666666666669</v>
      </c>
      <c r="D4" s="13">
        <f t="shared" si="0"/>
        <v>0.41666666666424135</v>
      </c>
      <c r="E4" s="40">
        <v>1.009828348875266</v>
      </c>
      <c r="F4" s="40">
        <v>1.0050892920588059</v>
      </c>
    </row>
    <row r="5" spans="1:11" x14ac:dyDescent="0.2">
      <c r="A5" s="14" t="s">
        <v>385</v>
      </c>
      <c r="B5" s="38">
        <v>45234</v>
      </c>
      <c r="C5" s="39">
        <v>0.58333333333333337</v>
      </c>
      <c r="D5" s="13">
        <f t="shared" si="0"/>
        <v>0.58333333333575865</v>
      </c>
      <c r="E5" s="40">
        <v>1.0098015297383076</v>
      </c>
      <c r="F5" s="40">
        <v>1.0051087962289922</v>
      </c>
    </row>
    <row r="6" spans="1:11" x14ac:dyDescent="0.2">
      <c r="A6" s="14" t="s">
        <v>385</v>
      </c>
      <c r="B6" s="38">
        <v>45234</v>
      </c>
      <c r="C6" s="39">
        <v>0.83333333333333337</v>
      </c>
      <c r="D6" s="13">
        <f t="shared" si="0"/>
        <v>0.83333333333575865</v>
      </c>
      <c r="E6" s="40">
        <v>1.0098400093695958</v>
      </c>
      <c r="F6" s="40">
        <v>1.0050481165884129</v>
      </c>
    </row>
    <row r="7" spans="1:11" x14ac:dyDescent="0.2">
      <c r="A7" s="12" t="s">
        <v>384</v>
      </c>
      <c r="B7" s="38">
        <v>45235</v>
      </c>
      <c r="C7" s="39">
        <v>0.11458333333333333</v>
      </c>
      <c r="D7" s="13">
        <f t="shared" si="0"/>
        <v>1.1145833333357587</v>
      </c>
      <c r="E7" s="40">
        <v>1.0098682783262352</v>
      </c>
      <c r="F7" s="40">
        <v>1.0051667583443302</v>
      </c>
    </row>
    <row r="8" spans="1:11" x14ac:dyDescent="0.2">
      <c r="A8" s="12" t="s">
        <v>384</v>
      </c>
      <c r="B8" s="38">
        <v>45235</v>
      </c>
      <c r="C8" s="39">
        <v>0.51388888888888895</v>
      </c>
      <c r="D8" s="13">
        <f t="shared" si="0"/>
        <v>1.5138888888905058</v>
      </c>
      <c r="E8" s="40">
        <v>1.0098246289666388</v>
      </c>
      <c r="F8" s="40">
        <v>1.005078771446176</v>
      </c>
    </row>
    <row r="9" spans="1:11" x14ac:dyDescent="0.2">
      <c r="A9" s="14" t="s">
        <v>385</v>
      </c>
      <c r="B9" s="38">
        <v>45235</v>
      </c>
      <c r="C9" s="39">
        <v>0.83333333333333337</v>
      </c>
      <c r="D9" s="13">
        <f t="shared" si="0"/>
        <v>1.8333333333357587</v>
      </c>
      <c r="E9" s="40">
        <v>1.0098805295873918</v>
      </c>
      <c r="F9" s="40">
        <v>1.0051213064795661</v>
      </c>
    </row>
    <row r="10" spans="1:11" x14ac:dyDescent="0.2">
      <c r="A10" s="14" t="s">
        <v>385</v>
      </c>
      <c r="B10" s="38">
        <v>45235</v>
      </c>
      <c r="C10" s="39">
        <v>0.94791666666666663</v>
      </c>
      <c r="D10" s="13">
        <f t="shared" si="0"/>
        <v>1.9479166666642413</v>
      </c>
      <c r="E10" s="40">
        <v>1.0097962825158593</v>
      </c>
      <c r="F10" s="40">
        <v>1.0050534359075545</v>
      </c>
    </row>
    <row r="11" spans="1:11" x14ac:dyDescent="0.2">
      <c r="A11" s="12" t="s">
        <v>384</v>
      </c>
      <c r="B11" s="38">
        <v>45236</v>
      </c>
      <c r="C11" s="39">
        <v>0.19791666666666666</v>
      </c>
      <c r="D11" s="13">
        <f t="shared" si="0"/>
        <v>2.1979166666642413</v>
      </c>
      <c r="E11" s="40">
        <v>1.0097726191506387</v>
      </c>
      <c r="F11" s="40">
        <v>1.0050750273228504</v>
      </c>
    </row>
    <row r="12" spans="1:11" x14ac:dyDescent="0.2">
      <c r="A12" s="12" t="s">
        <v>384</v>
      </c>
      <c r="B12" s="38">
        <v>45236</v>
      </c>
      <c r="C12" s="39">
        <v>0.65972222222222221</v>
      </c>
      <c r="D12" s="13">
        <f t="shared" si="0"/>
        <v>2.6597222222189885</v>
      </c>
      <c r="E12" s="40">
        <v>1.0099866857204189</v>
      </c>
      <c r="F12" s="40">
        <v>1.0051170994454839</v>
      </c>
    </row>
    <row r="13" spans="1:11" x14ac:dyDescent="0.2">
      <c r="A13" s="12" t="s">
        <v>384</v>
      </c>
      <c r="B13" s="38">
        <v>45238</v>
      </c>
      <c r="C13" s="39">
        <v>0.10416666666666667</v>
      </c>
      <c r="D13" s="13">
        <f t="shared" si="0"/>
        <v>4.1041666666642413</v>
      </c>
      <c r="E13" s="40">
        <v>1.0098651674587362</v>
      </c>
      <c r="F13" s="40">
        <v>1.0051148332655762</v>
      </c>
    </row>
    <row r="14" spans="1:11" x14ac:dyDescent="0.2">
      <c r="A14" s="12" t="s">
        <v>384</v>
      </c>
      <c r="B14" s="38">
        <v>45238</v>
      </c>
      <c r="C14" s="39">
        <v>0.58819444444444446</v>
      </c>
      <c r="D14" s="13">
        <f t="shared" si="0"/>
        <v>4.5881944444408873</v>
      </c>
      <c r="E14" s="40">
        <v>1.00977835481259</v>
      </c>
      <c r="F14" s="40">
        <v>1.0050506905212331</v>
      </c>
    </row>
    <row r="15" spans="1:11" x14ac:dyDescent="0.2">
      <c r="A15" s="14" t="s">
        <v>385</v>
      </c>
      <c r="B15" s="38">
        <v>45238</v>
      </c>
      <c r="C15" s="39">
        <v>0.84791666666666676</v>
      </c>
      <c r="D15" s="13">
        <f t="shared" si="0"/>
        <v>4.8479166666656965</v>
      </c>
      <c r="E15" s="40">
        <v>1.0097962825158593</v>
      </c>
      <c r="F15" s="40">
        <v>1.0050534359075545</v>
      </c>
      <c r="G15" s="47"/>
      <c r="H15" s="62"/>
    </row>
    <row r="16" spans="1:11" x14ac:dyDescent="0.2">
      <c r="A16" s="14" t="s">
        <v>385</v>
      </c>
      <c r="B16" s="38">
        <v>45239</v>
      </c>
      <c r="C16" s="39">
        <v>8.3333333333333329E-2</v>
      </c>
      <c r="D16" s="13">
        <f t="shared" si="0"/>
        <v>5.0833333333357587</v>
      </c>
      <c r="E16" s="40">
        <v>1.009603204163916</v>
      </c>
      <c r="F16" s="40">
        <v>1.0049738431322492</v>
      </c>
      <c r="G16" s="47"/>
      <c r="H16" s="62"/>
    </row>
    <row r="17" spans="1:8" x14ac:dyDescent="0.2">
      <c r="A17" s="14" t="s">
        <v>385</v>
      </c>
      <c r="B17" s="38">
        <v>45239</v>
      </c>
      <c r="C17" s="39">
        <v>0.4375</v>
      </c>
      <c r="D17" s="13">
        <f t="shared" si="0"/>
        <v>5.4375</v>
      </c>
      <c r="E17" s="40">
        <v>1.0093562931964835</v>
      </c>
      <c r="F17" s="40">
        <v>1.004874943198578</v>
      </c>
      <c r="G17" s="47"/>
      <c r="H17" s="62"/>
    </row>
    <row r="18" spans="1:8" x14ac:dyDescent="0.2">
      <c r="A18" s="14" t="s">
        <v>385</v>
      </c>
      <c r="B18" s="38">
        <v>45239</v>
      </c>
      <c r="C18" s="39">
        <v>0.59722222222222221</v>
      </c>
      <c r="D18" s="13">
        <f t="shared" si="0"/>
        <v>5.5972222222189885</v>
      </c>
      <c r="E18" s="40">
        <v>1.0100702069618224</v>
      </c>
      <c r="F18" s="40">
        <v>1.0051841532501662</v>
      </c>
      <c r="G18" s="47"/>
      <c r="H18" s="62"/>
    </row>
    <row r="19" spans="1:8" x14ac:dyDescent="0.2">
      <c r="A19" s="14" t="s">
        <v>385</v>
      </c>
      <c r="B19" s="38">
        <v>45239</v>
      </c>
      <c r="C19" s="39">
        <v>0.875</v>
      </c>
      <c r="D19" s="13">
        <f t="shared" si="0"/>
        <v>5.875</v>
      </c>
      <c r="E19" s="40">
        <v>1.0095152646025125</v>
      </c>
      <c r="F19" s="40">
        <v>1.0049609388580352</v>
      </c>
      <c r="G19" s="47"/>
      <c r="H19" s="62"/>
    </row>
    <row r="20" spans="1:8" x14ac:dyDescent="0.2">
      <c r="A20" s="14" t="s">
        <v>385</v>
      </c>
      <c r="B20" s="38">
        <v>45240</v>
      </c>
      <c r="C20" s="39">
        <v>0.13541666666666666</v>
      </c>
      <c r="D20" s="13">
        <f t="shared" si="0"/>
        <v>6.1354166666642413</v>
      </c>
      <c r="E20" s="40">
        <v>1.0097724756732693</v>
      </c>
      <c r="F20" s="40">
        <v>1.005108402205352</v>
      </c>
      <c r="G20" s="47"/>
      <c r="H20" s="62"/>
    </row>
    <row r="21" spans="1:8" x14ac:dyDescent="0.2">
      <c r="A21" s="14" t="s">
        <v>385</v>
      </c>
      <c r="B21" s="38">
        <v>45240</v>
      </c>
      <c r="C21" s="39">
        <v>0.62152777777777779</v>
      </c>
      <c r="D21" s="13">
        <f t="shared" si="0"/>
        <v>6.6215277777810115</v>
      </c>
      <c r="E21" s="40">
        <v>1.00978015216537</v>
      </c>
      <c r="F21" s="40">
        <v>1.0050816085978236</v>
      </c>
      <c r="G21" s="47"/>
      <c r="H21" s="62"/>
    </row>
    <row r="22" spans="1:8" x14ac:dyDescent="0.2">
      <c r="A22" s="14" t="s">
        <v>385</v>
      </c>
      <c r="B22" s="38">
        <v>45240</v>
      </c>
      <c r="C22" s="39">
        <v>0.92708333333333337</v>
      </c>
      <c r="D22" s="13">
        <f t="shared" si="0"/>
        <v>6.9270833333357587</v>
      </c>
      <c r="E22" s="40">
        <v>1.0092245296105571</v>
      </c>
      <c r="F22" s="40">
        <v>1.004781362584048</v>
      </c>
      <c r="G22" s="47"/>
      <c r="H22" s="62"/>
    </row>
    <row r="23" spans="1:8" x14ac:dyDescent="0.2">
      <c r="A23" s="14" t="s">
        <v>385</v>
      </c>
      <c r="B23" s="38">
        <v>45241</v>
      </c>
      <c r="C23" s="39">
        <v>0.20833333333333334</v>
      </c>
      <c r="D23" s="13">
        <f t="shared" si="0"/>
        <v>7.2083333333357587</v>
      </c>
      <c r="E23" s="40">
        <v>1.0089998707531374</v>
      </c>
      <c r="F23" s="40">
        <v>1.0046812805794563</v>
      </c>
      <c r="G23" s="47"/>
      <c r="H23" s="62"/>
    </row>
    <row r="24" spans="1:8" x14ac:dyDescent="0.2">
      <c r="A24" s="14" t="s">
        <v>385</v>
      </c>
      <c r="B24" s="38">
        <v>45241</v>
      </c>
      <c r="C24" s="39">
        <v>0.2673611111111111</v>
      </c>
      <c r="D24" s="13">
        <f t="shared" si="0"/>
        <v>7.2673611111094942</v>
      </c>
      <c r="E24" s="40">
        <v>1.0095495658899991</v>
      </c>
      <c r="F24" s="40">
        <v>1.0050006367397779</v>
      </c>
      <c r="G24" s="47"/>
      <c r="H24" s="62"/>
    </row>
    <row r="25" spans="1:8" x14ac:dyDescent="0.2">
      <c r="A25" s="14" t="s">
        <v>385</v>
      </c>
      <c r="B25" s="38">
        <v>45241</v>
      </c>
      <c r="C25" s="39">
        <v>0.52083333333333337</v>
      </c>
      <c r="D25" s="13">
        <f t="shared" si="0"/>
        <v>7.5208333333357587</v>
      </c>
      <c r="E25" s="40">
        <v>1.0096136986088127</v>
      </c>
      <c r="F25" s="40">
        <v>1.0050037889288987</v>
      </c>
      <c r="G25" s="47"/>
      <c r="H25" s="62"/>
    </row>
    <row r="26" spans="1:8" x14ac:dyDescent="0.2">
      <c r="A26" s="14" t="s">
        <v>385</v>
      </c>
      <c r="B26" s="38">
        <v>45241</v>
      </c>
      <c r="C26" s="39">
        <v>0.79513888888888884</v>
      </c>
      <c r="D26" s="13">
        <f t="shared" si="0"/>
        <v>7.7951388888905058</v>
      </c>
      <c r="E26" s="40">
        <v>1.0096069938245731</v>
      </c>
      <c r="F26" s="40">
        <v>1.0050063500825597</v>
      </c>
      <c r="G26" s="47"/>
      <c r="H26" s="62"/>
    </row>
    <row r="27" spans="1:8" x14ac:dyDescent="0.2">
      <c r="A27" s="14" t="s">
        <v>385</v>
      </c>
      <c r="B27" s="38">
        <v>45242</v>
      </c>
      <c r="C27" s="39">
        <v>8.3333333333333329E-2</v>
      </c>
      <c r="D27" s="13">
        <f t="shared" si="0"/>
        <v>8.0833333333357587</v>
      </c>
      <c r="E27" s="40">
        <v>1.0092711715878762</v>
      </c>
      <c r="F27" s="40">
        <v>1.0048283499031332</v>
      </c>
      <c r="G27" s="47"/>
      <c r="H27" s="62"/>
    </row>
    <row r="28" spans="1:8" x14ac:dyDescent="0.2">
      <c r="A28" s="14" t="s">
        <v>385</v>
      </c>
      <c r="B28" s="38">
        <v>45242</v>
      </c>
      <c r="C28" s="39">
        <v>0.28611111111111115</v>
      </c>
      <c r="D28" s="13">
        <f t="shared" si="0"/>
        <v>8.2861111111124046</v>
      </c>
      <c r="E28" s="40">
        <v>1.0096580084872657</v>
      </c>
      <c r="F28" s="40">
        <v>1.0050130484844417</v>
      </c>
      <c r="G28" s="47"/>
      <c r="H28" s="62"/>
    </row>
    <row r="29" spans="1:8" x14ac:dyDescent="0.2">
      <c r="A29" s="14" t="s">
        <v>385</v>
      </c>
      <c r="B29" s="38">
        <v>45242</v>
      </c>
      <c r="C29" s="39">
        <v>0.59027777777777779</v>
      </c>
      <c r="D29" s="13">
        <f t="shared" si="0"/>
        <v>8.5902777777810115</v>
      </c>
      <c r="E29" s="40">
        <v>1.0096076740200757</v>
      </c>
      <c r="F29" s="40">
        <v>1.0049740401440694</v>
      </c>
      <c r="G29" s="47"/>
      <c r="H29" s="62"/>
    </row>
    <row r="30" spans="1:8" x14ac:dyDescent="0.2">
      <c r="A30" s="14" t="s">
        <v>385</v>
      </c>
      <c r="B30" s="38">
        <v>45242</v>
      </c>
      <c r="C30" s="39">
        <v>0.86111111111111116</v>
      </c>
      <c r="D30" s="13">
        <f t="shared" si="0"/>
        <v>8.8611111111094942</v>
      </c>
      <c r="E30" s="40">
        <v>1.0096831757208606</v>
      </c>
      <c r="F30" s="40">
        <v>1.0050827906687438</v>
      </c>
    </row>
    <row r="31" spans="1:8" x14ac:dyDescent="0.2">
      <c r="A31" s="14" t="s">
        <v>385</v>
      </c>
      <c r="B31" s="38">
        <v>45243</v>
      </c>
      <c r="C31" s="39">
        <v>0.13541666666666666</v>
      </c>
      <c r="D31" s="13">
        <f t="shared" si="0"/>
        <v>9.1354166666642413</v>
      </c>
      <c r="E31" s="40">
        <v>1.0094953445913657</v>
      </c>
      <c r="F31" s="40">
        <v>1.0049272498368045</v>
      </c>
    </row>
    <row r="32" spans="1:8" x14ac:dyDescent="0.2">
      <c r="A32" s="14" t="s">
        <v>385</v>
      </c>
      <c r="B32" s="38">
        <v>45243</v>
      </c>
      <c r="C32" s="39">
        <v>0.41666666666666669</v>
      </c>
      <c r="D32" s="13">
        <f t="shared" si="0"/>
        <v>9.4166666666642413</v>
      </c>
      <c r="E32" s="40">
        <v>1.0092308457116523</v>
      </c>
      <c r="F32" s="40">
        <v>1.0048142635579986</v>
      </c>
    </row>
    <row r="33" spans="1:6" x14ac:dyDescent="0.2">
      <c r="A33" s="14" t="s">
        <v>385</v>
      </c>
      <c r="B33" s="38">
        <v>45243</v>
      </c>
      <c r="C33" s="39">
        <v>0.70833333333333337</v>
      </c>
      <c r="D33" s="13">
        <f t="shared" si="0"/>
        <v>9.7083333333357587</v>
      </c>
      <c r="E33" s="40">
        <v>1.0096067994830009</v>
      </c>
      <c r="F33" s="40">
        <v>1.0049203544231022</v>
      </c>
    </row>
    <row r="34" spans="1:6" x14ac:dyDescent="0.2">
      <c r="A34" s="14" t="s">
        <v>385</v>
      </c>
      <c r="B34" s="38">
        <v>45244</v>
      </c>
      <c r="C34" s="39">
        <v>1.5972222222222224E-2</v>
      </c>
      <c r="D34" s="13">
        <f t="shared" si="0"/>
        <v>10.015972222223354</v>
      </c>
      <c r="E34" s="40">
        <v>1.0095803690291869</v>
      </c>
      <c r="F34" s="40">
        <v>1.0049650761062565</v>
      </c>
    </row>
    <row r="35" spans="1:6" x14ac:dyDescent="0.2">
      <c r="A35" s="14" t="s">
        <v>385</v>
      </c>
      <c r="B35" s="38">
        <v>45244</v>
      </c>
      <c r="C35" s="39">
        <v>0.2673611111111111</v>
      </c>
      <c r="D35" s="13">
        <f t="shared" si="0"/>
        <v>10.267361111109494</v>
      </c>
      <c r="E35" s="40">
        <v>1.0094846558048967</v>
      </c>
      <c r="F35" s="40">
        <v>1.0049310915672958</v>
      </c>
    </row>
    <row r="36" spans="1:6" x14ac:dyDescent="0.2">
      <c r="A36" s="14" t="s">
        <v>385</v>
      </c>
      <c r="B36" s="38">
        <v>45244</v>
      </c>
      <c r="C36" s="39">
        <v>0.78472222222222221</v>
      </c>
      <c r="D36" s="13">
        <f t="shared" ref="D36:D40" si="1">C36+B36-$D$1</f>
        <v>10.784722222218988</v>
      </c>
      <c r="E36" s="40">
        <v>1.0096205005638383</v>
      </c>
      <c r="F36" s="40">
        <v>1.0050019173166083</v>
      </c>
    </row>
    <row r="37" spans="1:6" x14ac:dyDescent="0.2">
      <c r="A37" s="14" t="s">
        <v>385</v>
      </c>
      <c r="B37" s="38">
        <v>45244</v>
      </c>
      <c r="C37" s="39">
        <v>0.97916666666666663</v>
      </c>
      <c r="D37" s="13">
        <f t="shared" si="1"/>
        <v>10.979166666664241</v>
      </c>
      <c r="E37" s="40">
        <v>1.0094236325512378</v>
      </c>
      <c r="F37" s="40">
        <v>1.0049036084183969</v>
      </c>
    </row>
    <row r="38" spans="1:6" x14ac:dyDescent="0.2">
      <c r="A38" s="14" t="s">
        <v>385</v>
      </c>
      <c r="B38" s="38">
        <v>45245</v>
      </c>
      <c r="C38" s="39">
        <v>0.25</v>
      </c>
      <c r="D38" s="13">
        <f t="shared" si="1"/>
        <v>11.25</v>
      </c>
      <c r="E38" s="40">
        <v>1.0095157504564427</v>
      </c>
      <c r="F38" s="40">
        <v>1.0049954159265462</v>
      </c>
    </row>
    <row r="39" spans="1:6" x14ac:dyDescent="0.2">
      <c r="A39" s="14" t="s">
        <v>385</v>
      </c>
      <c r="B39" s="38">
        <v>45245</v>
      </c>
      <c r="C39" s="39">
        <v>0.53125</v>
      </c>
      <c r="D39" s="13">
        <f t="shared" si="1"/>
        <v>11.53125</v>
      </c>
      <c r="E39" s="40">
        <v>1.0096570367794049</v>
      </c>
      <c r="F39" s="40">
        <v>1.0049705924372183</v>
      </c>
    </row>
    <row r="40" spans="1:6" x14ac:dyDescent="0.2">
      <c r="A40" s="14" t="s">
        <v>385</v>
      </c>
      <c r="B40" s="38">
        <v>45245</v>
      </c>
      <c r="C40" s="39">
        <v>0.58333333333333337</v>
      </c>
      <c r="D40" s="13">
        <f t="shared" si="1"/>
        <v>11.583333333335759</v>
      </c>
      <c r="E40" s="40">
        <v>1.0095244958271901</v>
      </c>
      <c r="F40" s="40">
        <v>1.0049493151606514</v>
      </c>
    </row>
    <row r="41" spans="1:6" x14ac:dyDescent="0.2">
      <c r="D41" s="13"/>
    </row>
    <row r="42" spans="1:6" x14ac:dyDescent="0.2">
      <c r="D42" s="13"/>
    </row>
    <row r="43" spans="1:6" x14ac:dyDescent="0.2">
      <c r="D43" s="13"/>
    </row>
  </sheetData>
  <autoFilter ref="A1:F1" xr:uid="{891C61F1-7E20-3C48-8346-006EEECEA5E2}">
    <sortState xmlns:xlrd2="http://schemas.microsoft.com/office/spreadsheetml/2017/richdata2" ref="A2:F25">
      <sortCondition ref="D1:D2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BFA7B-AFAE-E54A-85D6-24072A944743}">
  <sheetPr codeName="Sheet3" filterMode="1"/>
  <dimension ref="A1:AC91"/>
  <sheetViews>
    <sheetView workbookViewId="0">
      <pane xSplit="2" ySplit="1" topLeftCell="K4" activePane="bottomRight" state="frozen"/>
      <selection pane="topRight" activeCell="C1" sqref="C1"/>
      <selection pane="bottomLeft" activeCell="A2" sqref="A2"/>
      <selection pane="bottomRight" activeCell="Q82" sqref="Q82"/>
    </sheetView>
  </sheetViews>
  <sheetFormatPr baseColWidth="10" defaultColWidth="10.83203125" defaultRowHeight="16" x14ac:dyDescent="0.2"/>
  <cols>
    <col min="1" max="1" width="10.83203125" style="9"/>
    <col min="2" max="2" width="24.33203125" style="45" customWidth="1"/>
    <col min="3" max="17" width="10.83203125" style="9"/>
    <col min="18" max="18" width="10.83203125" style="346"/>
    <col min="19" max="19" width="10.83203125" style="10"/>
    <col min="20" max="23" width="10.83203125" style="9" customWidth="1"/>
    <col min="24" max="24" width="10.83203125" style="9"/>
    <col min="25" max="26" width="10.83203125" style="9" customWidth="1"/>
    <col min="27" max="16384" width="10.83203125" style="9"/>
  </cols>
  <sheetData>
    <row r="1" spans="1:29" s="21" customFormat="1" thickBot="1" x14ac:dyDescent="0.25">
      <c r="A1" s="141">
        <v>45234</v>
      </c>
      <c r="B1" s="41" t="s">
        <v>108</v>
      </c>
      <c r="C1" s="15" t="s">
        <v>6</v>
      </c>
      <c r="D1" s="15" t="s">
        <v>7</v>
      </c>
      <c r="E1" s="16" t="s">
        <v>109</v>
      </c>
      <c r="F1" s="15" t="s">
        <v>110</v>
      </c>
      <c r="G1" s="15" t="s">
        <v>10</v>
      </c>
      <c r="H1" s="17" t="s">
        <v>11</v>
      </c>
      <c r="I1" s="17"/>
      <c r="J1" s="17" t="s">
        <v>12</v>
      </c>
      <c r="K1" s="17" t="s">
        <v>13</v>
      </c>
      <c r="L1" s="17" t="s">
        <v>14</v>
      </c>
      <c r="M1" s="18" t="s">
        <v>111</v>
      </c>
      <c r="N1" s="18" t="s">
        <v>112</v>
      </c>
      <c r="O1" s="15" t="s">
        <v>24</v>
      </c>
      <c r="P1" s="15" t="s">
        <v>25</v>
      </c>
      <c r="Q1" s="340" t="s">
        <v>26</v>
      </c>
      <c r="R1" s="344" t="s">
        <v>27</v>
      </c>
      <c r="S1" s="341" t="s">
        <v>28</v>
      </c>
      <c r="T1" s="19"/>
      <c r="U1" s="19"/>
      <c r="V1" s="20"/>
      <c r="X1" s="19" t="s">
        <v>19</v>
      </c>
      <c r="AA1" s="19" t="s">
        <v>22</v>
      </c>
    </row>
    <row r="2" spans="1:29" s="28" customFormat="1" ht="15" hidden="1" customHeight="1" x14ac:dyDescent="0.2">
      <c r="A2" s="142">
        <f t="shared" ref="A2:A33" si="0">C2-$A$1+G2</f>
        <v>2.5520833333333335</v>
      </c>
      <c r="B2" s="42" t="s">
        <v>169</v>
      </c>
      <c r="C2" s="22">
        <v>45236</v>
      </c>
      <c r="D2" s="23" t="s">
        <v>44</v>
      </c>
      <c r="E2" s="24">
        <v>0.92600000000000005</v>
      </c>
      <c r="F2" s="23">
        <v>608</v>
      </c>
      <c r="G2" s="25">
        <v>0.55208333333333337</v>
      </c>
      <c r="H2" s="26">
        <v>15</v>
      </c>
      <c r="I2" s="26"/>
      <c r="J2" s="26">
        <v>459.04</v>
      </c>
      <c r="K2" s="26">
        <v>455.89</v>
      </c>
      <c r="L2" s="26">
        <f t="shared" ref="L2:L33" si="1">J2-K2</f>
        <v>3.1500000000000341</v>
      </c>
      <c r="M2" s="27">
        <v>30.888200000000001</v>
      </c>
      <c r="N2" s="27">
        <v>15.9994</v>
      </c>
      <c r="O2" s="35">
        <f t="shared" ref="O2:O33" si="2">((1000+M2)/X2)-1000</f>
        <v>20.745268111896394</v>
      </c>
      <c r="P2" s="35">
        <f t="shared" ref="P2:P33" si="3">((1000+N2)/AA2)-1000</f>
        <v>10.836760326831154</v>
      </c>
      <c r="Q2" s="36">
        <f t="shared" ref="Q2:Q33" si="4">1000*(LN(P2/1000+1))</f>
        <v>10.778463427831747</v>
      </c>
      <c r="R2" s="37">
        <f t="shared" ref="R2:R33" si="5">1000*(LN(O2/1000+1))</f>
        <v>20.533015509420384</v>
      </c>
      <c r="S2" s="135">
        <f t="shared" ref="S2:S33" si="6">Q2-0.528*R2</f>
        <v>-6.2968761142215612E-2</v>
      </c>
      <c r="T2" s="10">
        <f>INDEX(Triple_Standards!$D:$D,MATCH(Triple_Calibrated!A2,Triple_Standards!$D:$D,1))</f>
        <v>2.1979166666642413</v>
      </c>
      <c r="U2" s="10" cm="1">
        <f t="array" ref="U2">INDEX(Triple_Standards!$D:$D,MATCH(Triple_Calibrated!A2,Triple_Standards!$D:$D,1)+1)</f>
        <v>2.6597222222189885</v>
      </c>
      <c r="V2" s="11">
        <f>INDEX(Triple_Standards!$E:$E,MATCH(T2,Triple_Standards!$D:$D,0))</f>
        <v>1.0097726191506387</v>
      </c>
      <c r="W2" s="11">
        <f>INDEX(Triple_Standards!$E:$E,MATCH(U2,Triple_Standards!$D:$D,0))</f>
        <v>1.0099866857204189</v>
      </c>
      <c r="X2" s="11" cm="1">
        <f t="array" ref="X2">TREND(V2:W2,T2:U2,A2,)</f>
        <v>1.0099367905049077</v>
      </c>
      <c r="Y2" s="11">
        <f>INDEX(Triple_Standards!$F:$F,MATCH(T2,Triple_Standards!$D:$D,0))</f>
        <v>1.0050750273228504</v>
      </c>
      <c r="Z2" s="11">
        <f>INDEX(Triple_Standards!$F:$F,MATCH(U2,Triple_Standards!$D:$D,0))</f>
        <v>1.0051170994454839</v>
      </c>
      <c r="AA2" s="11" cm="1">
        <f t="array" ref="AA2">TREND(Y2:Z2,T2:U2,A2,TRUE)</f>
        <v>1.0051072931612615</v>
      </c>
      <c r="AC2" s="28">
        <f>Triple_Standards!E2</f>
        <v>1.009883638234512</v>
      </c>
    </row>
    <row r="3" spans="1:29" s="28" customFormat="1" ht="15" hidden="1" customHeight="1" x14ac:dyDescent="0.2">
      <c r="A3" s="142">
        <f t="shared" si="0"/>
        <v>2.71875</v>
      </c>
      <c r="B3" s="42" t="s">
        <v>171</v>
      </c>
      <c r="C3" s="22">
        <v>45236</v>
      </c>
      <c r="D3" s="23" t="s">
        <v>53</v>
      </c>
      <c r="E3" s="24">
        <v>0.93200000000000005</v>
      </c>
      <c r="F3" s="23">
        <v>674</v>
      </c>
      <c r="G3" s="25">
        <v>0.71875</v>
      </c>
      <c r="H3" s="26">
        <v>19</v>
      </c>
      <c r="I3" s="26"/>
      <c r="J3" s="26">
        <v>459.25</v>
      </c>
      <c r="K3" s="26">
        <v>455.86</v>
      </c>
      <c r="L3" s="26">
        <f t="shared" si="1"/>
        <v>3.3899999999999864</v>
      </c>
      <c r="M3" s="27">
        <v>31.688700000000001</v>
      </c>
      <c r="N3" s="27">
        <v>16.392800000000001</v>
      </c>
      <c r="O3" s="35">
        <f t="shared" si="2"/>
        <v>21.492448569998032</v>
      </c>
      <c r="P3" s="35">
        <f t="shared" si="3"/>
        <v>11.218388591703729</v>
      </c>
      <c r="Q3" s="36">
        <f t="shared" si="4"/>
        <v>11.155929165705272</v>
      </c>
      <c r="R3" s="37">
        <f t="shared" si="5"/>
        <v>21.264742756779071</v>
      </c>
      <c r="S3" s="135">
        <f t="shared" si="6"/>
        <v>-7.185500987407778E-2</v>
      </c>
      <c r="T3" s="10">
        <f>INDEX(Triple_Standards!$D:$D,MATCH(Triple_Calibrated!A3,Triple_Standards!$D:$D,1))</f>
        <v>2.6597222222189885</v>
      </c>
      <c r="U3" s="10" cm="1">
        <f t="array" ref="U3">INDEX(Triple_Standards!$D:$D,MATCH(Triple_Calibrated!A3,Triple_Standards!$D:$D,1)+1)</f>
        <v>4.1041666666642413</v>
      </c>
      <c r="V3" s="11">
        <f>INDEX(Triple_Standards!$E:$E,MATCH(T3,Triple_Standards!$D:$D,0))</f>
        <v>1.0099866857204189</v>
      </c>
      <c r="W3" s="11">
        <f>INDEX(Triple_Standards!$E:$E,MATCH(U3,Triple_Standards!$D:$D,0))</f>
        <v>1.0098651674587362</v>
      </c>
      <c r="X3" s="11" cm="1">
        <f t="array" ref="X3">TREND(V3:W3,T3:U3,A3,)</f>
        <v>1.0099817198299172</v>
      </c>
      <c r="Y3" s="11">
        <f>INDEX(Triple_Standards!$F:$F,MATCH(T3,Triple_Standards!$D:$D,0))</f>
        <v>1.0051170994454839</v>
      </c>
      <c r="Z3" s="11">
        <f>INDEX(Triple_Standards!$F:$F,MATCH(U3,Triple_Standards!$D:$D,0))</f>
        <v>1.0051148332655762</v>
      </c>
      <c r="AA3" s="11" cm="1">
        <f t="array" ref="AA3">TREND(Y3:Z3,T3:U3,A3,TRUE)</f>
        <v>1.0051170068371704</v>
      </c>
    </row>
    <row r="4" spans="1:29" s="176" customFormat="1" x14ac:dyDescent="0.2">
      <c r="A4" s="166">
        <f t="shared" si="0"/>
        <v>3</v>
      </c>
      <c r="B4" s="167" t="s">
        <v>172</v>
      </c>
      <c r="C4" s="168">
        <v>45237</v>
      </c>
      <c r="D4" s="169" t="s">
        <v>44</v>
      </c>
      <c r="E4" s="170">
        <v>1.075</v>
      </c>
      <c r="F4" s="169">
        <v>616</v>
      </c>
      <c r="G4" s="171"/>
      <c r="H4" s="166"/>
      <c r="I4" s="166"/>
      <c r="J4" s="166">
        <v>462.11</v>
      </c>
      <c r="K4" s="166">
        <v>456.53</v>
      </c>
      <c r="L4" s="166">
        <f t="shared" si="1"/>
        <v>5.5800000000000409</v>
      </c>
      <c r="M4" s="172">
        <v>35.163800000000002</v>
      </c>
      <c r="N4" s="172">
        <v>18.179400000000001</v>
      </c>
      <c r="O4" s="173">
        <f t="shared" si="2"/>
        <v>24.957215755236575</v>
      </c>
      <c r="P4" s="173">
        <f t="shared" si="3"/>
        <v>12.996337799479761</v>
      </c>
      <c r="Q4" s="347">
        <f t="shared" si="4"/>
        <v>12.912610057128672</v>
      </c>
      <c r="R4" s="348">
        <f t="shared" si="5"/>
        <v>24.650870992604773</v>
      </c>
      <c r="S4" s="349">
        <f t="shared" si="6"/>
        <v>-0.10304982696664844</v>
      </c>
      <c r="T4" s="174">
        <f>INDEX(Triple_Standards!$D:$D,MATCH(Triple_Calibrated!A8,Triple_Standards!$D:$D,1))</f>
        <v>2.6597222222189885</v>
      </c>
      <c r="U4" s="174" cm="1">
        <f t="array" ref="U4">INDEX(Triple_Standards!$D:$D,MATCH(Triple_Calibrated!A8,Triple_Standards!$D:$D,1)+1)</f>
        <v>4.1041666666642413</v>
      </c>
      <c r="V4" s="175">
        <f>INDEX(Triple_Standards!$E:$E,MATCH(T4,Triple_Standards!$D:$D,0))</f>
        <v>1.0099866857204189</v>
      </c>
      <c r="W4" s="175">
        <f>INDEX(Triple_Standards!$E:$E,MATCH(U4,Triple_Standards!$D:$D,0))</f>
        <v>1.0098651674587362</v>
      </c>
      <c r="X4" s="175" cm="1">
        <f t="array" ref="X4">TREND(V4:W4,T4:U4,A4,)</f>
        <v>1.0099580588222337</v>
      </c>
      <c r="Y4" s="175">
        <f>INDEX(Triple_Standards!$F:$F,MATCH(T4,Triple_Standards!$D:$D,0))</f>
        <v>1.0051170994454839</v>
      </c>
      <c r="Z4" s="175">
        <f>INDEX(Triple_Standards!$F:$F,MATCH(U4,Triple_Standards!$D:$D,0))</f>
        <v>1.0051148332655762</v>
      </c>
      <c r="AA4" s="175" cm="1">
        <f t="array" ref="AA4">TREND(Y4:Z4,T4:U4,A4,TRUE)</f>
        <v>1.0051165655857941</v>
      </c>
    </row>
    <row r="5" spans="1:29" ht="17" thickBot="1" x14ac:dyDescent="0.25">
      <c r="A5" s="142">
        <f t="shared" si="0"/>
        <v>3.6354166666666665</v>
      </c>
      <c r="B5" s="43" t="s">
        <v>181</v>
      </c>
      <c r="C5" s="29">
        <v>45237</v>
      </c>
      <c r="D5" s="30" t="s">
        <v>53</v>
      </c>
      <c r="E5" s="31">
        <v>1.1399999999999999</v>
      </c>
      <c r="F5" s="30">
        <v>495</v>
      </c>
      <c r="G5" s="32">
        <v>0.63541666666666663</v>
      </c>
      <c r="H5" s="33">
        <v>18.25</v>
      </c>
      <c r="I5" s="33"/>
      <c r="J5" s="33">
        <v>462.54</v>
      </c>
      <c r="K5" s="33">
        <v>456.06</v>
      </c>
      <c r="L5" s="33">
        <f t="shared" si="1"/>
        <v>6.4800000000000182</v>
      </c>
      <c r="M5" s="34">
        <v>34.160200000000003</v>
      </c>
      <c r="N5" s="34">
        <v>17.686299999999999</v>
      </c>
      <c r="O5" s="35">
        <f t="shared" si="2"/>
        <v>24.017711642364702</v>
      </c>
      <c r="P5" s="35">
        <f t="shared" si="3"/>
        <v>12.506752165738817</v>
      </c>
      <c r="Q5" s="350">
        <f t="shared" si="4"/>
        <v>12.429188781988628</v>
      </c>
      <c r="R5" s="351">
        <f t="shared" si="5"/>
        <v>23.733822993479709</v>
      </c>
      <c r="S5" s="352">
        <f t="shared" si="6"/>
        <v>-0.10226975856865828</v>
      </c>
      <c r="T5" s="10">
        <f>INDEX(Triple_Standards!$D:$D,MATCH(Triple_Calibrated!A9,Triple_Standards!$D:$D,1))</f>
        <v>2.6597222222189885</v>
      </c>
      <c r="U5" s="10" cm="1">
        <f t="array" ref="U5">INDEX(Triple_Standards!$D:$D,MATCH(Triple_Calibrated!A9,Triple_Standards!$D:$D,1)+1)</f>
        <v>4.1041666666642413</v>
      </c>
      <c r="V5" s="11">
        <f>INDEX(Triple_Standards!$E:$E,MATCH(T5,Triple_Standards!$D:$D,0))</f>
        <v>1.0099866857204189</v>
      </c>
      <c r="W5" s="11">
        <f>INDEX(Triple_Standards!$E:$E,MATCH(U5,Triple_Standards!$D:$D,0))</f>
        <v>1.0098651674587362</v>
      </c>
      <c r="X5" s="11" cm="1">
        <f t="array" ref="X5">TREND(V5:W5,T5:U5,A5,)</f>
        <v>1.0099046024715417</v>
      </c>
      <c r="Y5" s="11">
        <f>INDEX(Triple_Standards!$F:$F,MATCH(T5,Triple_Standards!$D:$D,0))</f>
        <v>1.0051170994454839</v>
      </c>
      <c r="Z5" s="11">
        <f>INDEX(Triple_Standards!$F:$F,MATCH(U5,Triple_Standards!$D:$D,0))</f>
        <v>1.0051148332655762</v>
      </c>
      <c r="AA5" s="11" cm="1">
        <f t="array" ref="AA5">TREND(Y5:Z5,T5:U5,A5,TRUE)</f>
        <v>1.0051155686845368</v>
      </c>
    </row>
    <row r="6" spans="1:29" hidden="1" x14ac:dyDescent="0.2">
      <c r="A6" s="142">
        <f t="shared" si="0"/>
        <v>3.6875</v>
      </c>
      <c r="B6" s="42" t="s">
        <v>182</v>
      </c>
      <c r="C6" s="22">
        <v>45237</v>
      </c>
      <c r="D6" s="23" t="s">
        <v>53</v>
      </c>
      <c r="E6" s="24">
        <v>1.47</v>
      </c>
      <c r="F6" s="23">
        <v>470</v>
      </c>
      <c r="G6" s="25">
        <v>0.6875</v>
      </c>
      <c r="H6" s="26">
        <v>19.3</v>
      </c>
      <c r="I6" s="26"/>
      <c r="J6" s="26">
        <v>454.67</v>
      </c>
      <c r="K6" s="26">
        <v>456.12</v>
      </c>
      <c r="L6" s="26">
        <f t="shared" si="1"/>
        <v>-1.4499999999999886</v>
      </c>
      <c r="M6" s="27">
        <v>30.1996</v>
      </c>
      <c r="N6" s="27">
        <v>15.64</v>
      </c>
      <c r="O6" s="35">
        <f t="shared" si="2"/>
        <v>20.100380986547407</v>
      </c>
      <c r="P6" s="35">
        <f t="shared" si="3"/>
        <v>10.470949025364575</v>
      </c>
      <c r="Q6" s="36">
        <f t="shared" si="4"/>
        <v>10.416508339283997</v>
      </c>
      <c r="R6" s="37">
        <f t="shared" si="5"/>
        <v>19.901035185873745</v>
      </c>
      <c r="S6" s="135">
        <f t="shared" si="6"/>
        <v>-9.1238238857341614E-2</v>
      </c>
      <c r="T6" s="10">
        <f>INDEX(Triple_Standards!$D:$D,MATCH(Triple_Calibrated!A5,Triple_Standards!$D:$D,1))</f>
        <v>2.6597222222189885</v>
      </c>
      <c r="U6" s="10" cm="1">
        <f t="array" ref="U6">INDEX(Triple_Standards!$D:$D,MATCH(Triple_Calibrated!A5,Triple_Standards!$D:$D,1)+1)</f>
        <v>4.1041666666642413</v>
      </c>
      <c r="V6" s="11">
        <f>INDEX(Triple_Standards!$E:$E,MATCH(T6,Triple_Standards!$D:$D,0))</f>
        <v>1.0099866857204189</v>
      </c>
      <c r="W6" s="11">
        <f>INDEX(Triple_Standards!$E:$E,MATCH(U6,Triple_Standards!$D:$D,0))</f>
        <v>1.0098651674587362</v>
      </c>
      <c r="X6" s="11" cm="1">
        <f t="array" ref="X6">TREND(V6:W6,T6:U6,A6,)</f>
        <v>1.0099002208034522</v>
      </c>
      <c r="Y6" s="11">
        <f>INDEX(Triple_Standards!$F:$F,MATCH(T6,Triple_Standards!$D:$D,0))</f>
        <v>1.0051170994454839</v>
      </c>
      <c r="Z6" s="11">
        <f>INDEX(Triple_Standards!$F:$F,MATCH(U6,Triple_Standards!$D:$D,0))</f>
        <v>1.0051148332655762</v>
      </c>
      <c r="AA6" s="11" cm="1">
        <f t="array" ref="AA6">TREND(Y6:Z6,T6:U6,A6,TRUE)</f>
        <v>1.0051154869713188</v>
      </c>
    </row>
    <row r="7" spans="1:29" s="187" customFormat="1" ht="17" thickBot="1" x14ac:dyDescent="0.25">
      <c r="A7" s="177">
        <f t="shared" si="0"/>
        <v>3.7444444444444445</v>
      </c>
      <c r="B7" s="178" t="s">
        <v>183</v>
      </c>
      <c r="C7" s="179">
        <v>45237</v>
      </c>
      <c r="D7" s="180" t="s">
        <v>53</v>
      </c>
      <c r="E7" s="181">
        <v>1.099</v>
      </c>
      <c r="F7" s="180">
        <v>592</v>
      </c>
      <c r="G7" s="182">
        <v>0.74444444444444446</v>
      </c>
      <c r="H7" s="177">
        <v>20.6</v>
      </c>
      <c r="I7" s="177"/>
      <c r="J7" s="177">
        <v>460.75</v>
      </c>
      <c r="K7" s="177">
        <v>456.31</v>
      </c>
      <c r="L7" s="177">
        <f t="shared" si="1"/>
        <v>4.4399999999999977</v>
      </c>
      <c r="M7" s="183">
        <v>34.906500000000001</v>
      </c>
      <c r="N7" s="183">
        <v>18.065300000000001</v>
      </c>
      <c r="O7" s="184">
        <f t="shared" si="2"/>
        <v>24.765999600449732</v>
      </c>
      <c r="P7" s="184">
        <f t="shared" si="3"/>
        <v>12.88399560784876</v>
      </c>
      <c r="Q7" s="353">
        <f t="shared" si="4"/>
        <v>12.801703020919749</v>
      </c>
      <c r="R7" s="354">
        <f t="shared" si="5"/>
        <v>24.464293454809226</v>
      </c>
      <c r="S7" s="355">
        <f t="shared" si="6"/>
        <v>-0.11544392321952301</v>
      </c>
      <c r="T7" s="185">
        <f>INDEX(Triple_Standards!$D:$D,MATCH(Triple_Calibrated!A7,Triple_Standards!$D:$D,1))</f>
        <v>2.6597222222189885</v>
      </c>
      <c r="U7" s="185" cm="1">
        <f t="array" ref="U7">INDEX(Triple_Standards!$D:$D,MATCH(Triple_Calibrated!A7,Triple_Standards!$D:$D,1)+1)</f>
        <v>4.1041666666642413</v>
      </c>
      <c r="V7" s="186">
        <f>INDEX(Triple_Standards!$E:$E,MATCH(T7,Triple_Standards!$D:$D,0))</f>
        <v>1.0099866857204189</v>
      </c>
      <c r="W7" s="186">
        <f>INDEX(Triple_Standards!$E:$E,MATCH(U7,Triple_Standards!$D:$D,0))</f>
        <v>1.0098651674587362</v>
      </c>
      <c r="X7" s="186" cm="1">
        <f t="array" ref="X7">TREND(V7:W7,T7:U7,A7,)</f>
        <v>1.0098954301796743</v>
      </c>
      <c r="Y7" s="186">
        <f>INDEX(Triple_Standards!$F:$F,MATCH(T7,Triple_Standards!$D:$D,0))</f>
        <v>1.0051170994454839</v>
      </c>
      <c r="Z7" s="186">
        <f>INDEX(Triple_Standards!$F:$F,MATCH(U7,Triple_Standards!$D:$D,0))</f>
        <v>1.0051148332655762</v>
      </c>
      <c r="AA7" s="186" cm="1">
        <f t="array" ref="AA7">TREND(Y7:Z7,T7:U7,A7,TRUE)</f>
        <v>1.0051153976315341</v>
      </c>
    </row>
    <row r="8" spans="1:29" hidden="1" x14ac:dyDescent="0.2">
      <c r="A8" s="142">
        <f t="shared" si="0"/>
        <v>3.84375</v>
      </c>
      <c r="B8" s="42" t="s">
        <v>187</v>
      </c>
      <c r="C8" s="22">
        <v>45237</v>
      </c>
      <c r="D8" s="23" t="s">
        <v>53</v>
      </c>
      <c r="E8" s="24">
        <v>1.0620000000000001</v>
      </c>
      <c r="F8" s="23">
        <v>482</v>
      </c>
      <c r="G8" s="25">
        <v>0.84375</v>
      </c>
      <c r="H8" s="26">
        <v>22.75</v>
      </c>
      <c r="I8" s="26"/>
      <c r="J8" s="26">
        <v>452.11</v>
      </c>
      <c r="K8" s="26">
        <v>456.32</v>
      </c>
      <c r="L8" s="26">
        <f t="shared" si="1"/>
        <v>-4.2099999999999795</v>
      </c>
      <c r="M8" s="27">
        <v>30.953399999999998</v>
      </c>
      <c r="N8" s="27">
        <v>16.026499999999999</v>
      </c>
      <c r="O8" s="35">
        <f t="shared" si="2"/>
        <v>20.860079018384795</v>
      </c>
      <c r="P8" s="35">
        <f t="shared" si="3"/>
        <v>10.855728491839955</v>
      </c>
      <c r="Q8" s="36">
        <f t="shared" si="4"/>
        <v>10.797228066978766</v>
      </c>
      <c r="R8" s="37">
        <f t="shared" si="5"/>
        <v>20.645486714269801</v>
      </c>
      <c r="S8" s="135">
        <f t="shared" si="6"/>
        <v>-0.1035889181556886</v>
      </c>
      <c r="T8" s="10">
        <f>INDEX(Triple_Standards!$D:$D,MATCH(Triple_Calibrated!A4,Triple_Standards!$D:$D,1))</f>
        <v>2.6597222222189885</v>
      </c>
      <c r="U8" s="10" cm="1">
        <f t="array" ref="U8">INDEX(Triple_Standards!$D:$D,MATCH(Triple_Calibrated!A4,Triple_Standards!$D:$D,1)+1)</f>
        <v>4.1041666666642413</v>
      </c>
      <c r="V8" s="11">
        <f>INDEX(Triple_Standards!$E:$E,MATCH(T8,Triple_Standards!$D:$D,0))</f>
        <v>1.0099866857204189</v>
      </c>
      <c r="W8" s="11">
        <f>INDEX(Triple_Standards!$E:$E,MATCH(U8,Triple_Standards!$D:$D,0))</f>
        <v>1.0098651674587362</v>
      </c>
      <c r="X8" s="11" cm="1">
        <f t="array" ref="X8">TREND(V8:W8,T8:U8,A8,)</f>
        <v>1.0098870757991836</v>
      </c>
      <c r="Y8" s="11">
        <f>INDEX(Triple_Standards!$F:$F,MATCH(T8,Triple_Standards!$D:$D,0))</f>
        <v>1.0051170994454839</v>
      </c>
      <c r="Z8" s="11">
        <f>INDEX(Triple_Standards!$F:$F,MATCH(U8,Triple_Standards!$D:$D,0))</f>
        <v>1.0051148332655762</v>
      </c>
      <c r="AA8" s="11" cm="1">
        <f t="array" ref="AA8">TREND(Y8:Z8,T8:U8,A8,TRUE)</f>
        <v>1.0051152418316653</v>
      </c>
    </row>
    <row r="9" spans="1:29" s="198" customFormat="1" ht="17" thickBot="1" x14ac:dyDescent="0.25">
      <c r="A9" s="188">
        <f t="shared" si="0"/>
        <v>3.9375</v>
      </c>
      <c r="B9" s="189" t="s">
        <v>189</v>
      </c>
      <c r="C9" s="190">
        <v>45237</v>
      </c>
      <c r="D9" s="191" t="s">
        <v>41</v>
      </c>
      <c r="E9" s="192">
        <v>0.99199999999999999</v>
      </c>
      <c r="F9" s="191">
        <v>470</v>
      </c>
      <c r="G9" s="193">
        <v>0.9375</v>
      </c>
      <c r="H9" s="188">
        <v>25</v>
      </c>
      <c r="I9" s="188"/>
      <c r="J9" s="188">
        <v>459.59</v>
      </c>
      <c r="K9" s="188">
        <v>456.46</v>
      </c>
      <c r="L9" s="188">
        <f t="shared" si="1"/>
        <v>3.1299999999999955</v>
      </c>
      <c r="M9" s="194">
        <v>34.680100000000003</v>
      </c>
      <c r="N9" s="194">
        <v>17.9604</v>
      </c>
      <c r="O9" s="195">
        <f t="shared" si="2"/>
        <v>24.558295168880932</v>
      </c>
      <c r="P9" s="195">
        <f t="shared" si="3"/>
        <v>12.77993467539045</v>
      </c>
      <c r="Q9" s="356">
        <f t="shared" si="4"/>
        <v>12.698960477110637</v>
      </c>
      <c r="R9" s="357">
        <f t="shared" si="5"/>
        <v>24.261588170135592</v>
      </c>
      <c r="S9" s="358">
        <f t="shared" si="6"/>
        <v>-0.11115807672095634</v>
      </c>
      <c r="T9" s="196">
        <f>INDEX(Triple_Standards!$D:$D,MATCH(Triple_Calibrated!A6,Triple_Standards!$D:$D,1))</f>
        <v>2.6597222222189885</v>
      </c>
      <c r="U9" s="196" cm="1">
        <f t="array" ref="U9">INDEX(Triple_Standards!$D:$D,MATCH(Triple_Calibrated!A6,Triple_Standards!$D:$D,1)+1)</f>
        <v>4.1041666666642413</v>
      </c>
      <c r="V9" s="197">
        <f>INDEX(Triple_Standards!$E:$E,MATCH(T9,Triple_Standards!$D:$D,0))</f>
        <v>1.0099866857204189</v>
      </c>
      <c r="W9" s="197">
        <f>INDEX(Triple_Standards!$E:$E,MATCH(U9,Triple_Standards!$D:$D,0))</f>
        <v>1.0098651674587362</v>
      </c>
      <c r="X9" s="197" cm="1">
        <f t="array" ref="X9">TREND(V9:W9,T9:U9,A9,)</f>
        <v>1.0098791887966225</v>
      </c>
      <c r="Y9" s="197">
        <f>INDEX(Triple_Standards!$F:$F,MATCH(T9,Triple_Standards!$D:$D,0))</f>
        <v>1.0051170994454839</v>
      </c>
      <c r="Z9" s="197">
        <f>INDEX(Triple_Standards!$F:$F,MATCH(U9,Triple_Standards!$D:$D,0))</f>
        <v>1.0051148332655762</v>
      </c>
      <c r="AA9" s="197" cm="1">
        <f t="array" ref="AA9">TREND(Y9:Z9,T9:U9,A9,TRUE)</f>
        <v>1.0051150947478733</v>
      </c>
    </row>
    <row r="10" spans="1:29" hidden="1" x14ac:dyDescent="0.2">
      <c r="A10" s="142">
        <f t="shared" si="0"/>
        <v>4.15625</v>
      </c>
      <c r="B10" s="42" t="s">
        <v>199</v>
      </c>
      <c r="C10" s="22">
        <v>45238</v>
      </c>
      <c r="D10" s="23" t="s">
        <v>41</v>
      </c>
      <c r="E10" s="24">
        <v>0.77600000000000002</v>
      </c>
      <c r="F10" s="23">
        <v>469</v>
      </c>
      <c r="G10" s="25">
        <v>0.15625</v>
      </c>
      <c r="H10" s="26">
        <v>8.75</v>
      </c>
      <c r="I10" s="26"/>
      <c r="J10" s="26">
        <v>447.59</v>
      </c>
      <c r="K10" s="26">
        <v>456.57</v>
      </c>
      <c r="L10" s="26">
        <f t="shared" si="1"/>
        <v>-8.9800000000000182</v>
      </c>
      <c r="M10" s="27">
        <v>31.718800000000002</v>
      </c>
      <c r="N10" s="27">
        <v>16.425000000000001</v>
      </c>
      <c r="O10" s="35">
        <f t="shared" si="2"/>
        <v>21.649599246096386</v>
      </c>
      <c r="P10" s="35">
        <f t="shared" si="3"/>
        <v>11.25955571490897</v>
      </c>
      <c r="Q10" s="36">
        <f t="shared" si="4"/>
        <v>11.196638754976004</v>
      </c>
      <c r="R10" s="37">
        <f t="shared" si="5"/>
        <v>21.418575111779656</v>
      </c>
      <c r="S10" s="135">
        <f t="shared" si="6"/>
        <v>-0.11236890404365596</v>
      </c>
      <c r="T10" s="10">
        <f>INDEX(Triple_Standards!$D:$D,MATCH(Triple_Calibrated!A10,Triple_Standards!$D:$D,1))</f>
        <v>4.1041666666642413</v>
      </c>
      <c r="U10" s="10" cm="1">
        <f t="array" ref="U10">INDEX(Triple_Standards!$D:$D,MATCH(Triple_Calibrated!A10,Triple_Standards!$D:$D,1)+1)</f>
        <v>4.5881944444408873</v>
      </c>
      <c r="V10" s="11">
        <f>INDEX(Triple_Standards!$E:$E,MATCH(T10,Triple_Standards!$D:$D,0))</f>
        <v>1.0098651674587362</v>
      </c>
      <c r="W10" s="11">
        <f>INDEX(Triple_Standards!$E:$E,MATCH(U10,Triple_Standards!$D:$D,0))</f>
        <v>1.00977835481259</v>
      </c>
      <c r="X10" s="11" cm="1">
        <f t="array" ref="X10">TREND(V10:W10,T10:U10,A10,)</f>
        <v>1.0098558260692649</v>
      </c>
      <c r="Y10" s="11">
        <f>INDEX(Triple_Standards!$F:$F,MATCH(T10,Triple_Standards!$D:$D,0))</f>
        <v>1.0051148332655762</v>
      </c>
      <c r="Z10" s="11">
        <f>INDEX(Triple_Standards!$F:$F,MATCH(U10,Triple_Standards!$D:$D,0))</f>
        <v>1.0050506905212331</v>
      </c>
      <c r="AA10" s="11" cm="1">
        <f t="array" ref="AA10">TREND(Y10:Z10,T10:U10,A10,TRUE)</f>
        <v>1.0051079312486093</v>
      </c>
    </row>
    <row r="11" spans="1:29" hidden="1" x14ac:dyDescent="0.2">
      <c r="A11" s="142">
        <f t="shared" si="0"/>
        <v>4.25</v>
      </c>
      <c r="B11" s="42" t="s">
        <v>204</v>
      </c>
      <c r="C11" s="22">
        <v>45238</v>
      </c>
      <c r="D11" s="23" t="s">
        <v>41</v>
      </c>
      <c r="E11" s="24">
        <v>1.26</v>
      </c>
      <c r="F11" s="23">
        <v>491</v>
      </c>
      <c r="G11" s="25">
        <v>0.25</v>
      </c>
      <c r="H11" s="26">
        <v>11</v>
      </c>
      <c r="I11" s="26"/>
      <c r="J11" s="26">
        <v>459.17</v>
      </c>
      <c r="K11" s="26">
        <v>456.67</v>
      </c>
      <c r="L11" s="26">
        <f t="shared" si="1"/>
        <v>2.5</v>
      </c>
      <c r="M11" s="27">
        <v>31.9953</v>
      </c>
      <c r="N11" s="27">
        <v>16.579000000000001</v>
      </c>
      <c r="O11" s="35">
        <f t="shared" si="2"/>
        <v>21.940416420806173</v>
      </c>
      <c r="P11" s="35">
        <f t="shared" si="3"/>
        <v>11.425274807112373</v>
      </c>
      <c r="Q11" s="36">
        <f t="shared" si="4"/>
        <v>11.360499273504303</v>
      </c>
      <c r="R11" s="37">
        <f t="shared" si="5"/>
        <v>21.703189123830445</v>
      </c>
      <c r="S11" s="135">
        <f t="shared" si="6"/>
        <v>-9.8784583878172683E-2</v>
      </c>
      <c r="T11" s="10">
        <f>INDEX(Triple_Standards!$D:$D,MATCH(Triple_Calibrated!A15,Triple_Standards!$D:$D,1))</f>
        <v>4.1041666666642413</v>
      </c>
      <c r="U11" s="10" cm="1">
        <f t="array" ref="U11">INDEX(Triple_Standards!$D:$D,MATCH(Triple_Calibrated!A15,Triple_Standards!$D:$D,1)+1)</f>
        <v>4.5881944444408873</v>
      </c>
      <c r="V11" s="11">
        <f>INDEX(Triple_Standards!$E:$E,MATCH(T11,Triple_Standards!$D:$D,0))</f>
        <v>1.0098651674587362</v>
      </c>
      <c r="W11" s="11">
        <f>INDEX(Triple_Standards!$E:$E,MATCH(U11,Triple_Standards!$D:$D,0))</f>
        <v>1.00977835481259</v>
      </c>
      <c r="X11" s="11" cm="1">
        <f t="array" ref="X11">TREND(V11:W11,T11:U11,A11,)</f>
        <v>1.0098390115682181</v>
      </c>
      <c r="Y11" s="11">
        <f>INDEX(Triple_Standards!$F:$F,MATCH(T11,Triple_Standards!$D:$D,0))</f>
        <v>1.0051148332655762</v>
      </c>
      <c r="Z11" s="11">
        <f>INDEX(Triple_Standards!$F:$F,MATCH(U11,Triple_Standards!$D:$D,0))</f>
        <v>1.0050506905212331</v>
      </c>
      <c r="AA11" s="11" cm="1">
        <f t="array" ref="AA11">TREND(Y11:Z11,T11:U11,A11,TRUE)</f>
        <v>1.0050955076180694</v>
      </c>
    </row>
    <row r="12" spans="1:29" s="215" customFormat="1" ht="17" thickBot="1" x14ac:dyDescent="0.25">
      <c r="A12" s="205">
        <f t="shared" si="0"/>
        <v>4.3125</v>
      </c>
      <c r="B12" s="206" t="s">
        <v>206</v>
      </c>
      <c r="C12" s="207">
        <v>45238</v>
      </c>
      <c r="D12" s="208" t="s">
        <v>44</v>
      </c>
      <c r="E12" s="209">
        <v>1.1930000000000001</v>
      </c>
      <c r="F12" s="208">
        <v>578</v>
      </c>
      <c r="G12" s="210">
        <v>0.3125</v>
      </c>
      <c r="H12" s="205"/>
      <c r="I12" s="205"/>
      <c r="J12" s="205">
        <v>458.42</v>
      </c>
      <c r="K12" s="205">
        <v>456.6</v>
      </c>
      <c r="L12" s="205">
        <f t="shared" si="1"/>
        <v>1.8199999999999932</v>
      </c>
      <c r="M12" s="211">
        <v>35.024900000000002</v>
      </c>
      <c r="N12" s="211">
        <v>18.180800000000001</v>
      </c>
      <c r="O12" s="212">
        <f t="shared" si="2"/>
        <v>24.951876004717633</v>
      </c>
      <c r="P12" s="212">
        <f t="shared" si="3"/>
        <v>13.027301983382472</v>
      </c>
      <c r="Q12" s="359">
        <f t="shared" si="4"/>
        <v>12.943176515779097</v>
      </c>
      <c r="R12" s="360">
        <f t="shared" si="5"/>
        <v>24.645661248874614</v>
      </c>
      <c r="S12" s="361">
        <f t="shared" si="6"/>
        <v>-6.9732623626698853E-2</v>
      </c>
      <c r="T12" s="213">
        <f>INDEX(Triple_Standards!$D:$D,MATCH(Triple_Calibrated!A13,Triple_Standards!$D:$D,1))</f>
        <v>4.1041666666642413</v>
      </c>
      <c r="U12" s="213" cm="1">
        <f t="array" ref="U12">INDEX(Triple_Standards!$D:$D,MATCH(Triple_Calibrated!A13,Triple_Standards!$D:$D,1)+1)</f>
        <v>4.5881944444408873</v>
      </c>
      <c r="V12" s="214">
        <f>INDEX(Triple_Standards!$E:$E,MATCH(T12,Triple_Standards!$D:$D,0))</f>
        <v>1.0098651674587362</v>
      </c>
      <c r="W12" s="214">
        <f>INDEX(Triple_Standards!$E:$E,MATCH(U12,Triple_Standards!$D:$D,0))</f>
        <v>1.00977835481259</v>
      </c>
      <c r="X12" s="214" cm="1">
        <f t="array" ref="X12">TREND(V12:W12,T12:U12,A12,)</f>
        <v>1.0098278019008533</v>
      </c>
      <c r="Y12" s="214">
        <f>INDEX(Triple_Standards!$F:$F,MATCH(T12,Triple_Standards!$D:$D,0))</f>
        <v>1.0051148332655762</v>
      </c>
      <c r="Z12" s="214">
        <f>INDEX(Triple_Standards!$F:$F,MATCH(U12,Triple_Standards!$D:$D,0))</f>
        <v>1.0050506905212331</v>
      </c>
      <c r="AA12" s="214" cm="1">
        <f t="array" ref="AA12">TREND(Y12:Z12,T12:U12,A12,TRUE)</f>
        <v>1.0050872251977094</v>
      </c>
    </row>
    <row r="13" spans="1:29" hidden="1" x14ac:dyDescent="0.2">
      <c r="A13" s="142">
        <f t="shared" si="0"/>
        <v>4.3694444444444445</v>
      </c>
      <c r="B13" s="42" t="s">
        <v>207</v>
      </c>
      <c r="C13" s="22">
        <v>45238</v>
      </c>
      <c r="D13" s="23" t="s">
        <v>44</v>
      </c>
      <c r="E13" s="24">
        <v>1.262</v>
      </c>
      <c r="F13" s="23">
        <v>508</v>
      </c>
      <c r="G13" s="25">
        <v>0.36944444444444446</v>
      </c>
      <c r="H13" s="26"/>
      <c r="I13" s="26"/>
      <c r="J13" s="26">
        <v>458.42</v>
      </c>
      <c r="K13" s="26">
        <v>456.6</v>
      </c>
      <c r="L13" s="26">
        <f t="shared" si="1"/>
        <v>1.8199999999999932</v>
      </c>
      <c r="M13" s="27">
        <v>31.577999999999999</v>
      </c>
      <c r="N13" s="27">
        <v>16.2913</v>
      </c>
      <c r="O13" s="35">
        <f t="shared" si="2"/>
        <v>21.548853571426321</v>
      </c>
      <c r="P13" s="35">
        <f t="shared" si="3"/>
        <v>11.154957404716583</v>
      </c>
      <c r="Q13" s="36">
        <f t="shared" si="4"/>
        <v>11.093199712576826</v>
      </c>
      <c r="R13" s="37">
        <f t="shared" si="5"/>
        <v>21.319959458843233</v>
      </c>
      <c r="S13" s="135">
        <f t="shared" si="6"/>
        <v>-0.16373888169240125</v>
      </c>
      <c r="T13" s="10">
        <f>INDEX(Triple_Standards!$D:$D,MATCH(Triple_Calibrated!A14,Triple_Standards!$D:$D,1))</f>
        <v>4.1041666666642413</v>
      </c>
      <c r="U13" s="10" cm="1">
        <f t="array" ref="U13">INDEX(Triple_Standards!$D:$D,MATCH(Triple_Calibrated!A14,Triple_Standards!$D:$D,1)+1)</f>
        <v>4.5881944444408873</v>
      </c>
      <c r="V13" s="11">
        <f>INDEX(Triple_Standards!$E:$E,MATCH(T13,Triple_Standards!$D:$D,0))</f>
        <v>1.0098651674587362</v>
      </c>
      <c r="W13" s="11">
        <f>INDEX(Triple_Standards!$E:$E,MATCH(U13,Triple_Standards!$D:$D,0))</f>
        <v>1.00977835481259</v>
      </c>
      <c r="X13" s="11" cm="1">
        <f t="array" ref="X13">TREND(V13:W13,T13:U13,A13,)</f>
        <v>1.0098175886483656</v>
      </c>
      <c r="Y13" s="11">
        <f>INDEX(Triple_Standards!$F:$F,MATCH(T13,Triple_Standards!$D:$D,0))</f>
        <v>1.0051148332655762</v>
      </c>
      <c r="Z13" s="11">
        <f>INDEX(Triple_Standards!$F:$F,MATCH(U13,Triple_Standards!$D:$D,0))</f>
        <v>1.0050506905212331</v>
      </c>
      <c r="AA13" s="11" cm="1">
        <f t="array" ref="AA13">TREND(Y13:Z13,T13:U13,A13,TRUE)</f>
        <v>1.0050796789924925</v>
      </c>
    </row>
    <row r="14" spans="1:29" s="215" customFormat="1" x14ac:dyDescent="0.2">
      <c r="A14" s="205">
        <f t="shared" si="0"/>
        <v>4.4375</v>
      </c>
      <c r="B14" s="206" t="s">
        <v>208</v>
      </c>
      <c r="C14" s="207">
        <v>45238</v>
      </c>
      <c r="D14" s="208" t="s">
        <v>44</v>
      </c>
      <c r="E14" s="209">
        <v>1.218</v>
      </c>
      <c r="F14" s="208" t="s">
        <v>161</v>
      </c>
      <c r="G14" s="210">
        <v>0.4375</v>
      </c>
      <c r="H14" s="205"/>
      <c r="I14" s="205"/>
      <c r="J14" s="205">
        <v>462.45</v>
      </c>
      <c r="K14" s="205">
        <v>456.27</v>
      </c>
      <c r="L14" s="205">
        <f t="shared" si="1"/>
        <v>6.1800000000000068</v>
      </c>
      <c r="M14" s="211">
        <v>34.9465</v>
      </c>
      <c r="N14" s="211">
        <v>18.116900000000001</v>
      </c>
      <c r="O14" s="212">
        <f t="shared" si="2"/>
        <v>24.564700499420951</v>
      </c>
      <c r="P14" s="212">
        <f t="shared" si="3"/>
        <v>12.857944053552046</v>
      </c>
      <c r="Q14" s="362">
        <f t="shared" si="4"/>
        <v>12.775982514483989</v>
      </c>
      <c r="R14" s="363">
        <f t="shared" si="5"/>
        <v>24.26783994765557</v>
      </c>
      <c r="S14" s="364">
        <f t="shared" si="6"/>
        <v>-3.7436977878153144E-2</v>
      </c>
      <c r="T14" s="213">
        <f>INDEX(Triple_Standards!$D:$D,MATCH(Triple_Calibrated!A19,Triple_Standards!$D:$D,1))</f>
        <v>4.8479166666656965</v>
      </c>
      <c r="U14" s="213" cm="1">
        <f t="array" ref="U14">INDEX(Triple_Standards!$D:$D,MATCH(Triple_Calibrated!A19,Triple_Standards!$D:$D,1)+1)</f>
        <v>5.0833333333357587</v>
      </c>
      <c r="V14" s="214">
        <f>INDEX(Triple_Standards!$E:$E,MATCH(T14,Triple_Standards!$D:$D,0))</f>
        <v>1.0097962825158593</v>
      </c>
      <c r="W14" s="214">
        <f>INDEX(Triple_Standards!$E:$E,MATCH(U14,Triple_Standards!$D:$D,0))</f>
        <v>1.009603204163916</v>
      </c>
      <c r="X14" s="214" cm="1">
        <f t="array" ref="X14">TREND(V14:W14,T14:U14,A14,)</f>
        <v>1.0101328881382683</v>
      </c>
      <c r="Y14" s="214">
        <f>INDEX(Triple_Standards!$F:$F,MATCH(T14,Triple_Standards!$D:$D,0))</f>
        <v>1.0050534359075545</v>
      </c>
      <c r="Z14" s="214">
        <f>INDEX(Triple_Standards!$F:$F,MATCH(U14,Triple_Standards!$D:$D,0))</f>
        <v>1.0049738431322492</v>
      </c>
      <c r="AA14" s="214" cm="1">
        <f t="array" ref="AA14">TREND(Y14:Z14,T14:U14,A14,TRUE)</f>
        <v>1.0051921949937037</v>
      </c>
    </row>
    <row r="15" spans="1:29" s="215" customFormat="1" ht="17" thickBot="1" x14ac:dyDescent="0.25">
      <c r="A15" s="205">
        <f t="shared" si="0"/>
        <v>4.5</v>
      </c>
      <c r="B15" s="206" t="s">
        <v>213</v>
      </c>
      <c r="C15" s="207">
        <v>45238</v>
      </c>
      <c r="D15" s="208" t="s">
        <v>44</v>
      </c>
      <c r="E15" s="209">
        <v>1.1879999999999999</v>
      </c>
      <c r="F15" s="208">
        <v>538</v>
      </c>
      <c r="G15" s="210">
        <v>0.5</v>
      </c>
      <c r="H15" s="205"/>
      <c r="I15" s="205"/>
      <c r="J15" s="205">
        <v>456.55</v>
      </c>
      <c r="K15" s="205">
        <v>456.28</v>
      </c>
      <c r="L15" s="205">
        <f t="shared" si="1"/>
        <v>0.27000000000003865</v>
      </c>
      <c r="M15" s="211">
        <v>34.902099999999997</v>
      </c>
      <c r="N15" s="211">
        <v>18.0962</v>
      </c>
      <c r="O15" s="212">
        <f t="shared" si="2"/>
        <v>24.864400860191836</v>
      </c>
      <c r="P15" s="212">
        <f t="shared" si="3"/>
        <v>12.968172274171366</v>
      </c>
      <c r="Q15" s="365">
        <f t="shared" si="4"/>
        <v>12.884805497700277</v>
      </c>
      <c r="R15" s="366">
        <f t="shared" si="5"/>
        <v>24.560311995318521</v>
      </c>
      <c r="S15" s="367">
        <f t="shared" si="6"/>
        <v>-8.3039235827902402E-2</v>
      </c>
      <c r="T15" s="213">
        <f>INDEX(Triple_Standards!$D:$D,MATCH(Triple_Calibrated!A12,Triple_Standards!$D:$D,1))</f>
        <v>4.1041666666642413</v>
      </c>
      <c r="U15" s="213" cm="1">
        <f t="array" ref="U15">INDEX(Triple_Standards!$D:$D,MATCH(Triple_Calibrated!A12,Triple_Standards!$D:$D,1)+1)</f>
        <v>4.5881944444408873</v>
      </c>
      <c r="V15" s="214">
        <f>INDEX(Triple_Standards!$E:$E,MATCH(T15,Triple_Standards!$D:$D,0))</f>
        <v>1.0098651674587362</v>
      </c>
      <c r="W15" s="214">
        <f>INDEX(Triple_Standards!$E:$E,MATCH(U15,Triple_Standards!$D:$D,0))</f>
        <v>1.00977835481259</v>
      </c>
      <c r="X15" s="214" cm="1">
        <f t="array" ref="X15">TREND(V15:W15,T15:U15,A15,)</f>
        <v>1.0097941728987594</v>
      </c>
      <c r="Y15" s="214">
        <f>INDEX(Triple_Standards!$F:$F,MATCH(T15,Triple_Standards!$D:$D,0))</f>
        <v>1.0051148332655762</v>
      </c>
      <c r="Z15" s="214">
        <f>INDEX(Triple_Standards!$F:$F,MATCH(U15,Triple_Standards!$D:$D,0))</f>
        <v>1.0050506905212331</v>
      </c>
      <c r="AA15" s="214" cm="1">
        <f t="array" ref="AA15">TREND(Y15:Z15,T15:U15,A15,TRUE)</f>
        <v>1.0050623779366294</v>
      </c>
    </row>
    <row r="16" spans="1:29" hidden="1" x14ac:dyDescent="0.2">
      <c r="A16" s="142">
        <f t="shared" si="0"/>
        <v>4.666666666666667</v>
      </c>
      <c r="B16" s="42" t="s">
        <v>215</v>
      </c>
      <c r="C16" s="22">
        <v>45238</v>
      </c>
      <c r="D16" s="23" t="s">
        <v>53</v>
      </c>
      <c r="E16" s="24">
        <v>1.1779999999999999</v>
      </c>
      <c r="F16" s="23">
        <v>495</v>
      </c>
      <c r="G16" s="25">
        <v>0.66666666666666663</v>
      </c>
      <c r="H16" s="26">
        <v>21</v>
      </c>
      <c r="I16" s="26"/>
      <c r="J16" s="26">
        <v>461.23</v>
      </c>
      <c r="K16" s="26">
        <v>456.04</v>
      </c>
      <c r="L16" s="26">
        <f t="shared" si="1"/>
        <v>5.1899999999999977</v>
      </c>
      <c r="M16" s="27">
        <v>31.106999999999999</v>
      </c>
      <c r="N16" s="27">
        <v>16.106200000000001</v>
      </c>
      <c r="O16" s="35">
        <f t="shared" si="2"/>
        <v>21.116628263222765</v>
      </c>
      <c r="P16" s="35">
        <f t="shared" si="3"/>
        <v>10.999117727099701</v>
      </c>
      <c r="Q16" s="36">
        <f t="shared" si="4"/>
        <v>10.939067364461602</v>
      </c>
      <c r="R16" s="37">
        <f t="shared" si="5"/>
        <v>20.896762103722466</v>
      </c>
      <c r="S16" s="135">
        <f t="shared" si="6"/>
        <v>-9.4423026303861235E-2</v>
      </c>
      <c r="T16" s="10">
        <f>INDEX(Triple_Standards!$D:$D,MATCH(Triple_Calibrated!A16,Triple_Standards!$D:$D,1))</f>
        <v>4.5881944444408873</v>
      </c>
      <c r="U16" s="10" cm="1">
        <f t="array" ref="U16">INDEX(Triple_Standards!$D:$D,MATCH(Triple_Calibrated!A16,Triple_Standards!$D:$D,1)+1)</f>
        <v>4.8479166666656965</v>
      </c>
      <c r="V16" s="11">
        <f>INDEX(Triple_Standards!$E:$E,MATCH(T16,Triple_Standards!$D:$D,0))</f>
        <v>1.00977835481259</v>
      </c>
      <c r="W16" s="11">
        <f>INDEX(Triple_Standards!$E:$E,MATCH(U16,Triple_Standards!$D:$D,0))</f>
        <v>1.0097962825158593</v>
      </c>
      <c r="X16" s="11" cm="1">
        <f t="array" ref="X16">TREND(V16:W16,T16:U16,A16,)</f>
        <v>1.0097837714715991</v>
      </c>
      <c r="Y16" s="11">
        <f>INDEX(Triple_Standards!$F:$F,MATCH(T16,Triple_Standards!$D:$D,0))</f>
        <v>1.0050506905212331</v>
      </c>
      <c r="Z16" s="11">
        <f>INDEX(Triple_Standards!$F:$F,MATCH(U16,Triple_Standards!$D:$D,0))</f>
        <v>1.0050534359075545</v>
      </c>
      <c r="AA16" s="11" cm="1">
        <f t="array" ref="AA16">TREND(Y16:Z16,T16:U16,A16,TRUE)</f>
        <v>1.0050515200096137</v>
      </c>
    </row>
    <row r="17" spans="1:28" s="176" customFormat="1" ht="17" thickBot="1" x14ac:dyDescent="0.25">
      <c r="A17" s="166">
        <f t="shared" si="0"/>
        <v>4.708333333333333</v>
      </c>
      <c r="B17" s="167" t="s">
        <v>217</v>
      </c>
      <c r="C17" s="168">
        <v>45238</v>
      </c>
      <c r="D17" s="169" t="s">
        <v>53</v>
      </c>
      <c r="E17" s="170"/>
      <c r="F17" s="169">
        <v>507</v>
      </c>
      <c r="G17" s="171">
        <v>0.70833333333333337</v>
      </c>
      <c r="H17" s="166">
        <v>22</v>
      </c>
      <c r="I17" s="166"/>
      <c r="J17" s="166">
        <v>461.44</v>
      </c>
      <c r="K17" s="166">
        <v>456.08</v>
      </c>
      <c r="L17" s="166">
        <f t="shared" si="1"/>
        <v>5.3600000000000136</v>
      </c>
      <c r="M17" s="172">
        <v>35.838299999999997</v>
      </c>
      <c r="N17" s="172">
        <v>18.568100000000001</v>
      </c>
      <c r="O17" s="173">
        <f t="shared" si="2"/>
        <v>25.799165089841154</v>
      </c>
      <c r="P17" s="173">
        <f t="shared" si="3"/>
        <v>13.448199780716891</v>
      </c>
      <c r="Q17" s="368">
        <f t="shared" si="4"/>
        <v>13.35857537258298</v>
      </c>
      <c r="R17" s="369">
        <f t="shared" si="5"/>
        <v>25.471982061451268</v>
      </c>
      <c r="S17" s="370">
        <f t="shared" si="6"/>
        <v>-9.0631155863290402E-2</v>
      </c>
      <c r="T17" s="174">
        <f>INDEX(Triple_Standards!$D:$D,MATCH(Triple_Calibrated!A17,Triple_Standards!$D:$D,1))</f>
        <v>4.5881944444408873</v>
      </c>
      <c r="U17" s="174" cm="1">
        <f t="array" ref="U17">INDEX(Triple_Standards!$D:$D,MATCH(Triple_Calibrated!A17,Triple_Standards!$D:$D,1)+1)</f>
        <v>4.8479166666656965</v>
      </c>
      <c r="V17" s="175">
        <f>INDEX(Triple_Standards!$E:$E,MATCH(T17,Triple_Standards!$D:$D,0))</f>
        <v>1.00977835481259</v>
      </c>
      <c r="W17" s="175">
        <f>INDEX(Triple_Standards!$E:$E,MATCH(U17,Triple_Standards!$D:$D,0))</f>
        <v>1.0097962825158593</v>
      </c>
      <c r="X17" s="175" cm="1">
        <f t="array" ref="X17">TREND(V17:W17,T17:U17,A17,)</f>
        <v>1.009786647573728</v>
      </c>
      <c r="Y17" s="175">
        <f>INDEX(Triple_Standards!$F:$F,MATCH(T17,Triple_Standards!$D:$D,0))</f>
        <v>1.0050506905212331</v>
      </c>
      <c r="Z17" s="175">
        <f>INDEX(Triple_Standards!$F:$F,MATCH(U17,Triple_Standards!$D:$D,0))</f>
        <v>1.0050534359075545</v>
      </c>
      <c r="AA17" s="175" cm="1">
        <f t="array" ref="AA17">TREND(Y17:Z17,T17:U17,A17,TRUE)</f>
        <v>1.005051960445922</v>
      </c>
    </row>
    <row r="18" spans="1:28" hidden="1" x14ac:dyDescent="0.2">
      <c r="A18" s="142">
        <f t="shared" si="0"/>
        <v>4.760416666666667</v>
      </c>
      <c r="B18" s="42" t="s">
        <v>218</v>
      </c>
      <c r="C18" s="22">
        <v>45238</v>
      </c>
      <c r="D18" s="23" t="s">
        <v>53</v>
      </c>
      <c r="E18" s="24">
        <v>1.151</v>
      </c>
      <c r="F18" s="23">
        <v>577</v>
      </c>
      <c r="G18" s="25">
        <v>0.76041666666666663</v>
      </c>
      <c r="H18" s="26">
        <v>23.25</v>
      </c>
      <c r="I18" s="26"/>
      <c r="J18" s="26">
        <v>456.19</v>
      </c>
      <c r="K18" s="26">
        <v>456.08</v>
      </c>
      <c r="L18" s="26">
        <f t="shared" si="1"/>
        <v>0.11000000000001364</v>
      </c>
      <c r="M18" s="27">
        <v>31.625599999999999</v>
      </c>
      <c r="N18" s="27">
        <v>16.367599999999999</v>
      </c>
      <c r="O18" s="35">
        <f t="shared" si="2"/>
        <v>21.666936324499261</v>
      </c>
      <c r="P18" s="35">
        <f t="shared" si="3"/>
        <v>11.283002701648343</v>
      </c>
      <c r="Q18" s="36">
        <f t="shared" si="4"/>
        <v>11.219824409728222</v>
      </c>
      <c r="R18" s="37">
        <f t="shared" si="5"/>
        <v>21.435544659181158</v>
      </c>
      <c r="S18" s="135">
        <f t="shared" si="6"/>
        <v>-9.8143170319429984E-2</v>
      </c>
      <c r="T18" s="10">
        <f>INDEX(Triple_Standards!$D:$D,MATCH(Triple_Calibrated!A11,Triple_Standards!$D:$D,1))</f>
        <v>4.1041666666642413</v>
      </c>
      <c r="U18" s="10" cm="1">
        <f t="array" ref="U18">INDEX(Triple_Standards!$D:$D,MATCH(Triple_Calibrated!A11,Triple_Standards!$D:$D,1)+1)</f>
        <v>4.5881944444408873</v>
      </c>
      <c r="V18" s="11">
        <f>INDEX(Triple_Standards!$E:$E,MATCH(T18,Triple_Standards!$D:$D,0))</f>
        <v>1.0098651674587362</v>
      </c>
      <c r="W18" s="11">
        <f>INDEX(Triple_Standards!$E:$E,MATCH(U18,Triple_Standards!$D:$D,0))</f>
        <v>1.00977835481259</v>
      </c>
      <c r="X18" s="11" cm="1">
        <f t="array" ref="X18">TREND(V18:W18,T18:U18,A18,)</f>
        <v>1.0097474659514065</v>
      </c>
      <c r="Y18" s="11">
        <f>INDEX(Triple_Standards!$F:$F,MATCH(T18,Triple_Standards!$D:$D,0))</f>
        <v>1.0051148332655762</v>
      </c>
      <c r="Z18" s="11">
        <f>INDEX(Triple_Standards!$F:$F,MATCH(U18,Triple_Standards!$D:$D,0))</f>
        <v>1.0050506905212331</v>
      </c>
      <c r="AA18" s="11" cm="1">
        <f t="array" ref="AA18">TREND(Y18:Z18,T18:U18,A18,TRUE)</f>
        <v>1.0050278678517963</v>
      </c>
    </row>
    <row r="19" spans="1:28" hidden="1" x14ac:dyDescent="0.2">
      <c r="A19" s="142">
        <f t="shared" si="0"/>
        <v>4.958333333333333</v>
      </c>
      <c r="B19" s="42" t="s">
        <v>225</v>
      </c>
      <c r="C19" s="22">
        <v>45238</v>
      </c>
      <c r="D19" s="23" t="s">
        <v>41</v>
      </c>
      <c r="E19" s="24">
        <v>0.83199999999999996</v>
      </c>
      <c r="F19" s="23" t="s">
        <v>226</v>
      </c>
      <c r="G19" s="25">
        <v>0.95833333333333337</v>
      </c>
      <c r="H19" s="26">
        <v>8</v>
      </c>
      <c r="I19" s="26"/>
      <c r="J19" s="26">
        <v>462.14</v>
      </c>
      <c r="K19" s="26">
        <v>456.51</v>
      </c>
      <c r="L19" s="26">
        <f t="shared" si="1"/>
        <v>5.6299999999999955</v>
      </c>
      <c r="M19" s="27">
        <v>30.9358</v>
      </c>
      <c r="N19" s="27">
        <v>16.071400000000001</v>
      </c>
      <c r="O19" s="35">
        <f t="shared" si="2"/>
        <v>20.926732136694909</v>
      </c>
      <c r="P19" s="35">
        <f t="shared" si="3"/>
        <v>10.961391453404985</v>
      </c>
      <c r="Q19" s="36">
        <f t="shared" si="4"/>
        <v>10.901750835748336</v>
      </c>
      <c r="R19" s="37">
        <f t="shared" si="5"/>
        <v>20.710775722867098</v>
      </c>
      <c r="S19" s="135">
        <f t="shared" si="6"/>
        <v>-3.3538745925492108E-2</v>
      </c>
      <c r="T19" s="10">
        <f>INDEX(Triple_Standards!$D:$D,MATCH(Triple_Calibrated!A18,Triple_Standards!$D:$D,1))</f>
        <v>4.5881944444408873</v>
      </c>
      <c r="U19" s="10" cm="1">
        <f t="array" ref="U19">INDEX(Triple_Standards!$D:$D,MATCH(Triple_Calibrated!A18,Triple_Standards!$D:$D,1)+1)</f>
        <v>4.8479166666656965</v>
      </c>
      <c r="V19" s="11">
        <f>INDEX(Triple_Standards!$E:$E,MATCH(T19,Triple_Standards!$D:$D,0))</f>
        <v>1.00977835481259</v>
      </c>
      <c r="W19" s="11">
        <f>INDEX(Triple_Standards!$E:$E,MATCH(U19,Triple_Standards!$D:$D,0))</f>
        <v>1.0097962825158593</v>
      </c>
      <c r="X19" s="11" cm="1">
        <f t="array" ref="X19">TREND(V19:W19,T19:U19,A19,)</f>
        <v>1.0098039041865003</v>
      </c>
      <c r="Y19" s="11">
        <f>INDEX(Triple_Standards!$F:$F,MATCH(T19,Triple_Standards!$D:$D,0))</f>
        <v>1.0050506905212331</v>
      </c>
      <c r="Z19" s="11">
        <f>INDEX(Triple_Standards!$F:$F,MATCH(U19,Triple_Standards!$D:$D,0))</f>
        <v>1.0050534359075545</v>
      </c>
      <c r="AA19" s="11" cm="1">
        <f t="array" ref="AA19">TREND(Y19:Z19,T19:U19,A19,TRUE)</f>
        <v>1.0050546030637715</v>
      </c>
    </row>
    <row r="20" spans="1:28" hidden="1" x14ac:dyDescent="0.2">
      <c r="A20" s="142">
        <f t="shared" si="0"/>
        <v>5.020833333333333</v>
      </c>
      <c r="B20" s="42" t="s">
        <v>230</v>
      </c>
      <c r="C20" s="22">
        <v>45239</v>
      </c>
      <c r="D20" s="23" t="s">
        <v>41</v>
      </c>
      <c r="E20" s="24">
        <v>0.997</v>
      </c>
      <c r="F20" s="23">
        <v>678</v>
      </c>
      <c r="G20" s="25">
        <v>2.0833333333333332E-2</v>
      </c>
      <c r="H20" s="26">
        <v>9.5</v>
      </c>
      <c r="I20" s="26"/>
      <c r="J20" s="26">
        <v>462.08</v>
      </c>
      <c r="K20" s="26">
        <v>456.57</v>
      </c>
      <c r="L20" s="26">
        <f t="shared" si="1"/>
        <v>5.5099999999999909</v>
      </c>
      <c r="M20" s="27">
        <v>31.886700000000001</v>
      </c>
      <c r="N20" s="27">
        <v>16.543700000000001</v>
      </c>
      <c r="O20" s="35">
        <f t="shared" si="2"/>
        <v>23.015506163460486</v>
      </c>
      <c r="P20" s="35">
        <f t="shared" si="3"/>
        <v>12.012657142914577</v>
      </c>
      <c r="Q20" s="36">
        <f t="shared" si="4"/>
        <v>11.941077845277272</v>
      </c>
      <c r="R20" s="37">
        <f t="shared" si="5"/>
        <v>22.754644394654658</v>
      </c>
      <c r="S20" s="135">
        <f t="shared" si="6"/>
        <v>-7.3374395100387346E-2</v>
      </c>
      <c r="T20" s="10">
        <f>INDEX(Triple_Standards!$D:$D,MATCH(Triple_Calibrated!A28,Triple_Standards!$D:$D,1))</f>
        <v>5.875</v>
      </c>
      <c r="U20" s="10" cm="1">
        <f t="array" ref="U20">INDEX(Triple_Standards!$D:$D,MATCH(Triple_Calibrated!A28,Triple_Standards!$D:$D,1)+1)</f>
        <v>6.1354166666642413</v>
      </c>
      <c r="V20" s="11">
        <f>INDEX(Triple_Standards!$E:$E,MATCH(T20,Triple_Standards!$D:$D,0))</f>
        <v>1.0095152646025125</v>
      </c>
      <c r="W20" s="11">
        <f>INDEX(Triple_Standards!$E:$E,MATCH(U20,Triple_Standards!$D:$D,0))</f>
        <v>1.0097724756732693</v>
      </c>
      <c r="X20" s="11" cm="1">
        <f t="array" ref="X20">TREND(V20:W20,T20:U20,A20,)</f>
        <v>1.0086716122904222</v>
      </c>
      <c r="Y20" s="11">
        <f>INDEX(Triple_Standards!$F:$F,MATCH(T20,Triple_Standards!$D:$D,0))</f>
        <v>1.0049609388580352</v>
      </c>
      <c r="Z20" s="11">
        <f>INDEX(Triple_Standards!$F:$F,MATCH(U20,Triple_Standards!$D:$D,0))</f>
        <v>1.005108402205352</v>
      </c>
      <c r="AA20" s="11" cm="1">
        <f t="array" ref="AA20">TREND(Y20:Z20,T20:U20,A20,TRUE)</f>
        <v>1.0044772590788313</v>
      </c>
    </row>
    <row r="21" spans="1:28" hidden="1" x14ac:dyDescent="0.2">
      <c r="A21" s="142">
        <f t="shared" si="0"/>
        <v>5.135416666666667</v>
      </c>
      <c r="B21" s="42" t="s">
        <v>232</v>
      </c>
      <c r="C21" s="22">
        <v>45239</v>
      </c>
      <c r="D21" s="23" t="s">
        <v>41</v>
      </c>
      <c r="E21" s="24">
        <v>1.3280000000000001</v>
      </c>
      <c r="F21" s="23">
        <v>491</v>
      </c>
      <c r="G21" s="25">
        <v>0.13541666666666666</v>
      </c>
      <c r="H21" s="26">
        <v>12.25</v>
      </c>
      <c r="I21" s="26"/>
      <c r="J21" s="26">
        <v>458.81</v>
      </c>
      <c r="K21" s="26">
        <v>456.59</v>
      </c>
      <c r="L21" s="26">
        <f t="shared" si="1"/>
        <v>2.2200000000000273</v>
      </c>
      <c r="M21" s="27">
        <v>32.130600000000001</v>
      </c>
      <c r="N21" s="27">
        <v>16.740300000000001</v>
      </c>
      <c r="O21" s="35">
        <f t="shared" si="2"/>
        <v>22.349887276077084</v>
      </c>
      <c r="P21" s="35">
        <f t="shared" si="3"/>
        <v>11.722863788693303</v>
      </c>
      <c r="Q21" s="36">
        <f t="shared" si="4"/>
        <v>11.65468335033972</v>
      </c>
      <c r="R21" s="37">
        <f t="shared" si="5"/>
        <v>22.103788647299673</v>
      </c>
      <c r="S21" s="135">
        <f t="shared" si="6"/>
        <v>-1.6117055434508032E-2</v>
      </c>
      <c r="T21" s="10">
        <f>INDEX(Triple_Standards!$D:$D,MATCH(Triple_Calibrated!A21,Triple_Standards!$D:$D,1))</f>
        <v>5.0833333333357587</v>
      </c>
      <c r="U21" s="10" cm="1">
        <f t="array" ref="U21">INDEX(Triple_Standards!$D:$D,MATCH(Triple_Calibrated!A21,Triple_Standards!$D:$D,1)+1)</f>
        <v>5.4375</v>
      </c>
      <c r="V21" s="11">
        <f>INDEX(Triple_Standards!$E:$E,MATCH(T21,Triple_Standards!$D:$D,0))</f>
        <v>1.009603204163916</v>
      </c>
      <c r="W21" s="11">
        <f>INDEX(Triple_Standards!$E:$E,MATCH(U21,Triple_Standards!$D:$D,0))</f>
        <v>1.0093562931964835</v>
      </c>
      <c r="X21" s="11" cm="1">
        <f t="array" ref="X21">TREND(V21:W21,T21:U21,A21,)</f>
        <v>1.0095668937275304</v>
      </c>
      <c r="Y21" s="11">
        <f>INDEX(Triple_Standards!$F:$F,MATCH(T21,Triple_Standards!$D:$D,0))</f>
        <v>1.0049738431322492</v>
      </c>
      <c r="Z21" s="11">
        <f>INDEX(Triple_Standards!$F:$F,MATCH(U21,Triple_Standards!$D:$D,0))</f>
        <v>1.004874943198578</v>
      </c>
      <c r="AA21" s="11" cm="1">
        <f t="array" ref="AA21">TREND(Y21:Z21,T21:U21,A21,TRUE)</f>
        <v>1.0049592990243568</v>
      </c>
    </row>
    <row r="22" spans="1:28" hidden="1" x14ac:dyDescent="0.2">
      <c r="A22" s="142">
        <f t="shared" si="0"/>
        <v>5.208333333333333</v>
      </c>
      <c r="B22" s="42" t="s">
        <v>236</v>
      </c>
      <c r="C22" s="22">
        <v>45239</v>
      </c>
      <c r="D22" s="23" t="s">
        <v>41</v>
      </c>
      <c r="E22" s="24">
        <v>1.095</v>
      </c>
      <c r="F22" s="23">
        <v>590</v>
      </c>
      <c r="G22" s="25">
        <v>0.20833333333333334</v>
      </c>
      <c r="H22" s="26">
        <v>8.5</v>
      </c>
      <c r="I22" s="26"/>
      <c r="J22" s="26">
        <v>463.53</v>
      </c>
      <c r="K22" s="26">
        <v>456.65</v>
      </c>
      <c r="L22" s="26">
        <f t="shared" si="1"/>
        <v>6.8799999999999955</v>
      </c>
      <c r="M22" s="27">
        <v>30.400700000000001</v>
      </c>
      <c r="N22" s="27">
        <v>15.798400000000001</v>
      </c>
      <c r="O22" s="35">
        <f>((1000+M22)/X22)-1000</f>
        <v>20.443381341487338</v>
      </c>
      <c r="P22" s="35">
        <f t="shared" si="3"/>
        <v>10.584288903566971</v>
      </c>
      <c r="Q22" s="36">
        <f t="shared" si="4"/>
        <v>10.528667449232383</v>
      </c>
      <c r="R22" s="37">
        <f t="shared" si="5"/>
        <v>20.237220436592423</v>
      </c>
      <c r="S22" s="135">
        <f t="shared" si="6"/>
        <v>-0.1565849412884166</v>
      </c>
      <c r="T22" s="10">
        <f>INDEX(Triple_Standards!$D:$D,MATCH(Triple_Calibrated!A30,Triple_Standards!$D:$D,1))</f>
        <v>6.1354166666642413</v>
      </c>
      <c r="U22" s="10" cm="1">
        <f t="array" ref="U22">INDEX(Triple_Standards!$D:$D,MATCH(Triple_Calibrated!A30,Triple_Standards!$D:$D,1)+1)</f>
        <v>6.6215277777810115</v>
      </c>
      <c r="V22" s="11">
        <f>INDEX(Triple_Standards!$E:$E,MATCH(T22,Triple_Standards!$D:$D,0))</f>
        <v>1.0097724756732693</v>
      </c>
      <c r="W22" s="11">
        <f>INDEX(Triple_Standards!$E:$E,MATCH(U22,Triple_Standards!$D:$D,0))</f>
        <v>1.00978015216537</v>
      </c>
      <c r="X22" s="11" cm="1">
        <f t="array" ref="X22">TREND(V22:W22,T22:U22,A22,)</f>
        <v>1.009757835506192</v>
      </c>
      <c r="Y22" s="11">
        <f>INDEX(Triple_Standards!$F:$F,MATCH(T22,Triple_Standards!$D:$D,0))</f>
        <v>1.005108402205352</v>
      </c>
      <c r="Z22" s="11">
        <f>INDEX(Triple_Standards!$F:$F,MATCH(U22,Triple_Standards!$D:$D,0))</f>
        <v>1.0050816085978236</v>
      </c>
      <c r="AA22" s="11" cm="1">
        <f t="array" ref="AA22">TREND(Y22:Z22,T22:U22,A22,TRUE)</f>
        <v>1.0051595014425665</v>
      </c>
    </row>
    <row r="23" spans="1:28" hidden="1" x14ac:dyDescent="0.2">
      <c r="A23" s="142">
        <f t="shared" si="0"/>
        <v>5.291666666666667</v>
      </c>
      <c r="B23" s="42" t="s">
        <v>241</v>
      </c>
      <c r="C23" s="22">
        <v>45239</v>
      </c>
      <c r="D23" s="23" t="s">
        <v>44</v>
      </c>
      <c r="E23" s="24">
        <v>1.58</v>
      </c>
      <c r="F23" s="23">
        <v>498</v>
      </c>
      <c r="G23" s="133">
        <v>0.29166666666666669</v>
      </c>
      <c r="H23" s="26"/>
      <c r="I23" s="26"/>
      <c r="J23" s="26">
        <v>462.48</v>
      </c>
      <c r="K23" s="26">
        <v>456.54</v>
      </c>
      <c r="L23" s="26">
        <f t="shared" si="1"/>
        <v>5.9399999999999977</v>
      </c>
      <c r="M23" s="27">
        <v>30.7563</v>
      </c>
      <c r="N23" s="27">
        <v>15.9863</v>
      </c>
      <c r="O23" s="35">
        <f t="shared" si="2"/>
        <v>21.62388982718528</v>
      </c>
      <c r="P23" s="35">
        <f t="shared" si="3"/>
        <v>11.303337568096595</v>
      </c>
      <c r="Q23" s="36">
        <f t="shared" si="4"/>
        <v>11.239932195531056</v>
      </c>
      <c r="R23" s="37">
        <f t="shared" si="5"/>
        <v>21.39341018006596</v>
      </c>
      <c r="S23" s="135">
        <f t="shared" si="6"/>
        <v>-5.5788379543772137E-2</v>
      </c>
      <c r="T23" s="10">
        <f>INDEX(Triple_Standards!$D:$D,MATCH(Triple_Calibrated!A29,Triple_Standards!$D:$D,1))</f>
        <v>5.875</v>
      </c>
      <c r="U23" s="10" cm="1">
        <f t="array" ref="U23">INDEX(Triple_Standards!$D:$D,MATCH(Triple_Calibrated!A29,Triple_Standards!$D:$D,1)+1)</f>
        <v>6.1354166666642413</v>
      </c>
      <c r="V23" s="11">
        <f>INDEX(Triple_Standards!$E:$E,MATCH(T23,Triple_Standards!$D:$D,0))</f>
        <v>1.0095152646025125</v>
      </c>
      <c r="W23" s="11">
        <f>INDEX(Triple_Standards!$E:$E,MATCH(U23,Triple_Standards!$D:$D,0))</f>
        <v>1.0097724756732693</v>
      </c>
      <c r="X23" s="11" cm="1">
        <f t="array" ref="X23">TREND(V23:W23,T23:U23,A23,)</f>
        <v>1.0089391118040119</v>
      </c>
      <c r="Y23" s="11">
        <f>INDEX(Triple_Standards!$F:$F,MATCH(T23,Triple_Standards!$D:$D,0))</f>
        <v>1.0049609388580352</v>
      </c>
      <c r="Z23" s="11">
        <f>INDEX(Triple_Standards!$F:$F,MATCH(U23,Triple_Standards!$D:$D,0))</f>
        <v>1.005108402205352</v>
      </c>
      <c r="AA23" s="11" cm="1">
        <f t="array" ref="AA23">TREND(Y23:Z23,T23:U23,A23,TRUE)</f>
        <v>1.0046306209600422</v>
      </c>
      <c r="AB23" s="131" t="s">
        <v>386</v>
      </c>
    </row>
    <row r="24" spans="1:28" hidden="1" x14ac:dyDescent="0.2">
      <c r="A24" s="142">
        <f t="shared" si="0"/>
        <v>5.375</v>
      </c>
      <c r="B24" s="44" t="s">
        <v>243</v>
      </c>
      <c r="C24" s="22">
        <v>45239</v>
      </c>
      <c r="D24" s="26" t="s">
        <v>44</v>
      </c>
      <c r="E24" s="26">
        <v>0.95699999999999996</v>
      </c>
      <c r="F24" s="23">
        <v>498</v>
      </c>
      <c r="G24" s="25">
        <v>0.375</v>
      </c>
      <c r="H24" s="26"/>
      <c r="I24" s="26"/>
      <c r="J24" s="26">
        <v>461.75</v>
      </c>
      <c r="K24" s="26">
        <v>456.62</v>
      </c>
      <c r="L24" s="26">
        <f t="shared" si="1"/>
        <v>5.1299999999999955</v>
      </c>
      <c r="M24" s="27">
        <v>32.447600000000001</v>
      </c>
      <c r="N24" s="27">
        <v>16.870899999999999</v>
      </c>
      <c r="O24" s="35">
        <f t="shared" si="2"/>
        <v>23.21673277115724</v>
      </c>
      <c r="P24" s="35">
        <f t="shared" si="3"/>
        <v>12.136319381978296</v>
      </c>
      <c r="Q24" s="36">
        <f t="shared" si="4"/>
        <v>12.063264740265446</v>
      </c>
      <c r="R24" s="37">
        <f t="shared" si="5"/>
        <v>22.951324521686733</v>
      </c>
      <c r="S24" s="135">
        <f t="shared" si="6"/>
        <v>-5.5034607185149298E-2</v>
      </c>
      <c r="T24" s="10">
        <f>INDEX(Triple_Standards!$D:$D,MATCH(Triple_Calibrated!A27,Triple_Standards!$D:$D,1))</f>
        <v>5.875</v>
      </c>
      <c r="U24" s="10" cm="1">
        <f t="array" ref="U24">INDEX(Triple_Standards!$D:$D,MATCH(Triple_Calibrated!A27,Triple_Standards!$D:$D,1)+1)</f>
        <v>6.1354166666642413</v>
      </c>
      <c r="V24" s="11">
        <f>INDEX(Triple_Standards!$E:$E,MATCH(T24,Triple_Standards!$D:$D,0))</f>
        <v>1.0095152646025125</v>
      </c>
      <c r="W24" s="11">
        <f>INDEX(Triple_Standards!$E:$E,MATCH(U24,Triple_Standards!$D:$D,0))</f>
        <v>1.0097724756732693</v>
      </c>
      <c r="X24" s="11" cm="1">
        <f t="array" ref="X24">TREND(V24:W24,T24:U24,A24,)</f>
        <v>1.0090214193466549</v>
      </c>
      <c r="Y24" s="11">
        <f>INDEX(Triple_Standards!$F:$F,MATCH(T24,Triple_Standards!$D:$D,0))</f>
        <v>1.0049609388580352</v>
      </c>
      <c r="Z24" s="11">
        <f>INDEX(Triple_Standards!$F:$F,MATCH(U24,Triple_Standards!$D:$D,0))</f>
        <v>1.005108402205352</v>
      </c>
      <c r="AA24" s="11" cm="1">
        <f t="array" ref="AA24">TREND(Y24:Z24,T24:U24,A24,TRUE)</f>
        <v>1.0046778092311841</v>
      </c>
      <c r="AB24" s="131" t="s">
        <v>386</v>
      </c>
    </row>
    <row r="25" spans="1:28" hidden="1" x14ac:dyDescent="0.2">
      <c r="A25" s="142">
        <f t="shared" si="0"/>
        <v>5.5</v>
      </c>
      <c r="B25" s="42" t="s">
        <v>244</v>
      </c>
      <c r="C25" s="22">
        <v>45239</v>
      </c>
      <c r="D25" s="23" t="s">
        <v>44</v>
      </c>
      <c r="E25" s="24">
        <v>1.0980000000000001</v>
      </c>
      <c r="F25" s="23">
        <v>518</v>
      </c>
      <c r="G25" s="25">
        <v>0.5</v>
      </c>
      <c r="H25" s="26"/>
      <c r="I25" s="26"/>
      <c r="J25" s="26">
        <v>450.45</v>
      </c>
      <c r="K25" s="26">
        <v>456.38</v>
      </c>
      <c r="L25" s="26">
        <f t="shared" si="1"/>
        <v>-5.9300000000000068</v>
      </c>
      <c r="M25" s="27">
        <v>32.459400000000002</v>
      </c>
      <c r="N25" s="27">
        <v>16.8672</v>
      </c>
      <c r="O25" s="35">
        <f t="shared" si="2"/>
        <v>22.985052003838859</v>
      </c>
      <c r="P25" s="35">
        <f t="shared" si="3"/>
        <v>11.976347695766549</v>
      </c>
      <c r="Q25" s="36">
        <f t="shared" si="4"/>
        <v>11.905198750020187</v>
      </c>
      <c r="R25" s="37">
        <f t="shared" si="5"/>
        <v>22.724874940778072</v>
      </c>
      <c r="S25" s="135">
        <f t="shared" si="6"/>
        <v>-9.3535218710636414E-2</v>
      </c>
      <c r="T25" s="10">
        <f>INDEX(Triple_Standards!$D:$D,MATCH(Triple_Calibrated!A20,Triple_Standards!$D:$D,1))</f>
        <v>4.8479166666656965</v>
      </c>
      <c r="U25" s="10" cm="1">
        <f t="array" ref="U25">INDEX(Triple_Standards!$D:$D,MATCH(Triple_Calibrated!A20,Triple_Standards!$D:$D,1)+1)</f>
        <v>5.0833333333357587</v>
      </c>
      <c r="V25" s="11">
        <f>INDEX(Triple_Standards!$E:$E,MATCH(T25,Triple_Standards!$D:$D,0))</f>
        <v>1.0097962825158593</v>
      </c>
      <c r="W25" s="11">
        <f>INDEX(Triple_Standards!$E:$E,MATCH(U25,Triple_Standards!$D:$D,0))</f>
        <v>1.009603204163916</v>
      </c>
      <c r="X25" s="11" cm="1">
        <f t="array" ref="X25">TREND(V25:W25,T25:U25,A25,)</f>
        <v>1.0092614725675635</v>
      </c>
      <c r="Y25" s="11">
        <f>INDEX(Triple_Standards!$F:$F,MATCH(T25,Triple_Standards!$D:$D,0))</f>
        <v>1.0050534359075545</v>
      </c>
      <c r="Z25" s="11">
        <f>INDEX(Triple_Standards!$F:$F,MATCH(U25,Triple_Standards!$D:$D,0))</f>
        <v>1.0049738431322492</v>
      </c>
      <c r="AA25" s="11" cm="1">
        <f t="array" ref="AA25">TREND(Y25:Z25,T25:U25,A25,TRUE)</f>
        <v>1.0048329709635702</v>
      </c>
    </row>
    <row r="26" spans="1:28" s="226" customFormat="1" x14ac:dyDescent="0.2">
      <c r="A26" s="216">
        <f t="shared" si="0"/>
        <v>5.927083333333333</v>
      </c>
      <c r="B26" s="217" t="s">
        <v>249</v>
      </c>
      <c r="C26" s="218">
        <v>45239</v>
      </c>
      <c r="D26" s="219" t="s">
        <v>41</v>
      </c>
      <c r="E26" s="220">
        <v>1.2969999999999999</v>
      </c>
      <c r="F26" s="219">
        <v>593</v>
      </c>
      <c r="G26" s="221">
        <v>0.92708333333333337</v>
      </c>
      <c r="H26" s="216">
        <v>9.5</v>
      </c>
      <c r="I26" s="216"/>
      <c r="J26" s="216">
        <v>460.46</v>
      </c>
      <c r="K26" s="216">
        <v>456.52</v>
      </c>
      <c r="L26" s="216">
        <f t="shared" si="1"/>
        <v>3.9399999999999977</v>
      </c>
      <c r="M26" s="222">
        <v>34.216099999999997</v>
      </c>
      <c r="N26" s="222">
        <v>17.792100000000001</v>
      </c>
      <c r="O26" s="223">
        <f>((1000+M26)/X26)-1000</f>
        <v>24.975967183439707</v>
      </c>
      <c r="P26" s="223">
        <f t="shared" si="3"/>
        <v>12.992310876841884</v>
      </c>
      <c r="Q26" s="371">
        <f t="shared" si="4"/>
        <v>12.90863479039613</v>
      </c>
      <c r="R26" s="372">
        <f t="shared" si="5"/>
        <v>24.669165665191819</v>
      </c>
      <c r="S26" s="373">
        <f t="shared" si="6"/>
        <v>-0.11668468082515204</v>
      </c>
      <c r="T26" s="224">
        <f>INDEX(Triple_Standards!$D:$D,MATCH(Triple_Calibrated!A24,Triple_Standards!$D:$D,1))</f>
        <v>5.0833333333357587</v>
      </c>
      <c r="U26" s="224" cm="1">
        <f t="array" ref="U26">INDEX(Triple_Standards!$D:$D,MATCH(Triple_Calibrated!A24,Triple_Standards!$D:$D,1)+1)</f>
        <v>5.4375</v>
      </c>
      <c r="V26" s="225">
        <f>INDEX(Triple_Standards!$E:$E,MATCH(T26,Triple_Standards!$D:$D,0))</f>
        <v>1.009603204163916</v>
      </c>
      <c r="W26" s="225">
        <f>INDEX(Triple_Standards!$E:$E,MATCH(U26,Triple_Standards!$D:$D,0))</f>
        <v>1.0093562931964835</v>
      </c>
      <c r="X26" s="225" cm="1">
        <f t="array" ref="X26">TREND(V26:W26,T26:U26,A26,)</f>
        <v>1.0090149750944422</v>
      </c>
      <c r="Y26" s="225">
        <f>INDEX(Triple_Standards!$F:$F,MATCH(T26,Triple_Standards!$D:$D,0))</f>
        <v>1.0049738431322492</v>
      </c>
      <c r="Z26" s="225">
        <f>INDEX(Triple_Standards!$F:$F,MATCH(U26,Triple_Standards!$D:$D,0))</f>
        <v>1.004874943198578</v>
      </c>
      <c r="AA26" s="225" cm="1">
        <f t="array" ref="AA26">TREND(Y26:Z26,T26:U26,A26,TRUE)</f>
        <v>1.0047382285843842</v>
      </c>
    </row>
    <row r="27" spans="1:28" s="226" customFormat="1" x14ac:dyDescent="0.2">
      <c r="A27" s="216">
        <f t="shared" si="0"/>
        <v>5.979166666666667</v>
      </c>
      <c r="B27" s="217" t="s">
        <v>251</v>
      </c>
      <c r="C27" s="218">
        <v>45239</v>
      </c>
      <c r="D27" s="219" t="s">
        <v>41</v>
      </c>
      <c r="E27" s="220">
        <v>1.21</v>
      </c>
      <c r="F27" s="219">
        <v>507</v>
      </c>
      <c r="G27" s="221">
        <v>0.97916666666666663</v>
      </c>
      <c r="H27" s="216">
        <v>10.75</v>
      </c>
      <c r="I27" s="216"/>
      <c r="J27" s="216">
        <v>461.4</v>
      </c>
      <c r="K27" s="216">
        <v>456.6</v>
      </c>
      <c r="L27" s="216">
        <f t="shared" si="1"/>
        <v>4.7999999999999545</v>
      </c>
      <c r="M27" s="222">
        <v>34.186399999999999</v>
      </c>
      <c r="N27" s="222">
        <v>17.810600000000001</v>
      </c>
      <c r="O27" s="223">
        <f t="shared" si="2"/>
        <v>24.334200997444441</v>
      </c>
      <c r="P27" s="223">
        <f t="shared" si="3"/>
        <v>12.726788290548257</v>
      </c>
      <c r="Q27" s="374">
        <f t="shared" si="4"/>
        <v>12.646483352002207</v>
      </c>
      <c r="R27" s="375">
        <f t="shared" si="5"/>
        <v>24.04284153237953</v>
      </c>
      <c r="S27" s="376">
        <f t="shared" si="6"/>
        <v>-4.8136977094186406E-2</v>
      </c>
      <c r="T27" s="224">
        <f>INDEX(Triple_Standards!$D:$D,MATCH(Triple_Calibrated!A26,Triple_Standards!$D:$D,1))</f>
        <v>5.875</v>
      </c>
      <c r="U27" s="224" cm="1">
        <f t="array" ref="U27">INDEX(Triple_Standards!$D:$D,MATCH(Triple_Calibrated!A26,Triple_Standards!$D:$D,1)+1)</f>
        <v>6.1354166666642413</v>
      </c>
      <c r="V27" s="225">
        <f>INDEX(Triple_Standards!$E:$E,MATCH(T27,Triple_Standards!$D:$D,0))</f>
        <v>1.0095152646025125</v>
      </c>
      <c r="W27" s="225">
        <f>INDEX(Triple_Standards!$E:$E,MATCH(U27,Triple_Standards!$D:$D,0))</f>
        <v>1.0097724756732693</v>
      </c>
      <c r="X27" s="225" cm="1">
        <f t="array" ref="X27">TREND(V27:W27,T27:U27,A27,)</f>
        <v>1.0096181490308163</v>
      </c>
      <c r="Y27" s="225">
        <f>INDEX(Triple_Standards!$F:$F,MATCH(T27,Triple_Standards!$D:$D,0))</f>
        <v>1.0049609388580352</v>
      </c>
      <c r="Z27" s="225">
        <f>INDEX(Triple_Standards!$F:$F,MATCH(U27,Triple_Standards!$D:$D,0))</f>
        <v>1.005108402205352</v>
      </c>
      <c r="AA27" s="225" cm="1">
        <f t="array" ref="AA27">TREND(Y27:Z27,T27:U27,A27,TRUE)</f>
        <v>1.0050199241969624</v>
      </c>
    </row>
    <row r="28" spans="1:28" s="226" customFormat="1" x14ac:dyDescent="0.2">
      <c r="A28" s="216">
        <f t="shared" si="0"/>
        <v>6.03125</v>
      </c>
      <c r="B28" s="217" t="s">
        <v>252</v>
      </c>
      <c r="C28" s="218">
        <v>45240</v>
      </c>
      <c r="D28" s="219" t="s">
        <v>41</v>
      </c>
      <c r="E28" s="220">
        <v>1.278</v>
      </c>
      <c r="F28" s="219">
        <v>495</v>
      </c>
      <c r="G28" s="221">
        <v>3.125E-2</v>
      </c>
      <c r="H28" s="216">
        <v>12</v>
      </c>
      <c r="I28" s="216"/>
      <c r="J28" s="216">
        <v>459.08</v>
      </c>
      <c r="K28" s="216">
        <v>456.68</v>
      </c>
      <c r="L28" s="216">
        <f t="shared" si="1"/>
        <v>2.3999999999999773</v>
      </c>
      <c r="M28" s="222">
        <v>34.241100000000003</v>
      </c>
      <c r="N28" s="222">
        <v>17.8353</v>
      </c>
      <c r="O28" s="223">
        <f t="shared" si="2"/>
        <v>25.074520533780969</v>
      </c>
      <c r="P28" s="223">
        <f t="shared" si="3"/>
        <v>13.064636424613354</v>
      </c>
      <c r="Q28" s="374">
        <f t="shared" si="4"/>
        <v>12.980030165435842</v>
      </c>
      <c r="R28" s="375">
        <f t="shared" si="5"/>
        <v>24.765312907425756</v>
      </c>
      <c r="S28" s="376">
        <f t="shared" si="6"/>
        <v>-9.6055049684958149E-2</v>
      </c>
      <c r="T28" s="224">
        <f>INDEX(Triple_Standards!$D:$D,MATCH(Triple_Calibrated!A22,Triple_Standards!$D:$D,1))</f>
        <v>5.0833333333357587</v>
      </c>
      <c r="U28" s="224" cm="1">
        <f t="array" ref="U28">INDEX(Triple_Standards!$D:$D,MATCH(Triple_Calibrated!A22,Triple_Standards!$D:$D,1)+1)</f>
        <v>5.4375</v>
      </c>
      <c r="V28" s="225">
        <f>INDEX(Triple_Standards!$E:$E,MATCH(T28,Triple_Standards!$D:$D,0))</f>
        <v>1.009603204163916</v>
      </c>
      <c r="W28" s="225">
        <f>INDEX(Triple_Standards!$E:$E,MATCH(U28,Triple_Standards!$D:$D,0))</f>
        <v>1.0093562931964835</v>
      </c>
      <c r="X28" s="225" cm="1">
        <f t="array" ref="X28">TREND(V28:W28,T28:U28,A28,)</f>
        <v>1.0089423542216673</v>
      </c>
      <c r="Y28" s="225">
        <f>INDEX(Triple_Standards!$F:$F,MATCH(T28,Triple_Standards!$D:$D,0))</f>
        <v>1.0049738431322492</v>
      </c>
      <c r="Z28" s="225">
        <f>INDEX(Triple_Standards!$F:$F,MATCH(U28,Triple_Standards!$D:$D,0))</f>
        <v>1.004874943198578</v>
      </c>
      <c r="AA28" s="225" cm="1">
        <f t="array" ref="AA28">TREND(Y28:Z28,T28:U28,A28,TRUE)</f>
        <v>1.0047091403685984</v>
      </c>
      <c r="AB28" s="227" t="s">
        <v>387</v>
      </c>
    </row>
    <row r="29" spans="1:28" s="176" customFormat="1" x14ac:dyDescent="0.2">
      <c r="A29" s="166">
        <f t="shared" si="0"/>
        <v>6.083333333333333</v>
      </c>
      <c r="B29" s="167" t="s">
        <v>254</v>
      </c>
      <c r="C29" s="168">
        <v>45240</v>
      </c>
      <c r="D29" s="169" t="s">
        <v>41</v>
      </c>
      <c r="E29" s="170">
        <v>1.1950000000000001</v>
      </c>
      <c r="F29" s="169">
        <v>560</v>
      </c>
      <c r="G29" s="171">
        <v>8.3333333333333329E-2</v>
      </c>
      <c r="H29" s="166">
        <v>13.15</v>
      </c>
      <c r="I29" s="166"/>
      <c r="J29" s="166">
        <v>460.32</v>
      </c>
      <c r="K29" s="166">
        <v>456.63</v>
      </c>
      <c r="L29" s="166">
        <f t="shared" si="1"/>
        <v>3.6899999999999977</v>
      </c>
      <c r="M29" s="172">
        <v>35.620899999999999</v>
      </c>
      <c r="N29" s="172">
        <v>18.537700000000001</v>
      </c>
      <c r="O29" s="173">
        <f>((1000+M29)/X29)-1000</f>
        <v>26.47903278930653</v>
      </c>
      <c r="P29" s="173">
        <f t="shared" si="3"/>
        <v>13.778419622058323</v>
      </c>
      <c r="Q29" s="377">
        <f t="shared" si="4"/>
        <v>13.684360206998045</v>
      </c>
      <c r="R29" s="378">
        <f t="shared" si="5"/>
        <v>26.134531344524163</v>
      </c>
      <c r="S29" s="379">
        <f t="shared" si="6"/>
        <v>-0.11467234291071371</v>
      </c>
      <c r="T29" s="174">
        <f>INDEX(Triple_Standards!$D:$D,MATCH(Triple_Calibrated!A23,Triple_Standards!$D:$D,1))</f>
        <v>5.0833333333357587</v>
      </c>
      <c r="U29" s="174" cm="1">
        <f t="array" ref="U29">INDEX(Triple_Standards!$D:$D,MATCH(Triple_Calibrated!A23,Triple_Standards!$D:$D,1)+1)</f>
        <v>5.4375</v>
      </c>
      <c r="V29" s="175">
        <f>INDEX(Triple_Standards!$E:$E,MATCH(T29,Triple_Standards!$D:$D,0))</f>
        <v>1.009603204163916</v>
      </c>
      <c r="W29" s="175">
        <f>INDEX(Triple_Standards!$E:$E,MATCH(U29,Triple_Standards!$D:$D,0))</f>
        <v>1.0093562931964835</v>
      </c>
      <c r="X29" s="175" cm="1">
        <f t="array" ref="X29">TREND(V29:W29,T29:U29,A29,)</f>
        <v>1.0089060437852799</v>
      </c>
      <c r="Y29" s="175">
        <f>INDEX(Triple_Standards!$F:$F,MATCH(T29,Triple_Standards!$D:$D,0))</f>
        <v>1.0049738431322492</v>
      </c>
      <c r="Z29" s="175">
        <f>INDEX(Triple_Standards!$F:$F,MATCH(U29,Triple_Standards!$D:$D,0))</f>
        <v>1.004874943198578</v>
      </c>
      <c r="AA29" s="175" cm="1">
        <f t="array" ref="AA29">TREND(Y29:Z29,T29:U29,A29,TRUE)</f>
        <v>1.0046945962607055</v>
      </c>
      <c r="AB29" s="339" t="s">
        <v>387</v>
      </c>
    </row>
    <row r="30" spans="1:28" s="176" customFormat="1" ht="17" thickBot="1" x14ac:dyDescent="0.25">
      <c r="A30" s="166">
        <f t="shared" si="0"/>
        <v>6.1875</v>
      </c>
      <c r="B30" s="167" t="s">
        <v>255</v>
      </c>
      <c r="C30" s="168">
        <v>45240</v>
      </c>
      <c r="D30" s="169" t="s">
        <v>41</v>
      </c>
      <c r="E30" s="170">
        <v>1.232</v>
      </c>
      <c r="F30" s="169">
        <v>592</v>
      </c>
      <c r="G30" s="171">
        <v>0.1875</v>
      </c>
      <c r="H30" s="166">
        <v>15.75</v>
      </c>
      <c r="I30" s="166"/>
      <c r="J30" s="166">
        <v>461.18</v>
      </c>
      <c r="K30" s="166">
        <v>456.49</v>
      </c>
      <c r="L30" s="166">
        <f t="shared" si="1"/>
        <v>4.6899999999999977</v>
      </c>
      <c r="M30" s="172">
        <v>35.813000000000002</v>
      </c>
      <c r="N30" s="172">
        <v>18.635100000000001</v>
      </c>
      <c r="O30" s="173">
        <f>((1000+M30)/X30)-1000</f>
        <v>22.814476391420271</v>
      </c>
      <c r="P30" s="173">
        <f t="shared" si="3"/>
        <v>12.230830877205335</v>
      </c>
      <c r="Q30" s="380">
        <f>1000*(LN(P30/1000+1))</f>
        <v>12.156638608028185</v>
      </c>
      <c r="R30" s="381">
        <f>1000*(LN(O30/1000+1))</f>
        <v>22.558118022080667</v>
      </c>
      <c r="S30" s="382">
        <f>Q30-0.528*R30</f>
        <v>0.24595229236959248</v>
      </c>
      <c r="T30" s="174">
        <f>INDEX(Triple_Standards!$D:$D,MATCH(Triple_Calibrated!A25,Triple_Standards!$D:$D,1))</f>
        <v>5.4375</v>
      </c>
      <c r="U30" s="174" cm="1">
        <f t="array" ref="U30">INDEX(Triple_Standards!$D:$D,MATCH(Triple_Calibrated!A25,Triple_Standards!$D:$D,1)+1)</f>
        <v>5.5972222222189885</v>
      </c>
      <c r="V30" s="175">
        <f>INDEX(Triple_Standards!$E:$E,MATCH(T30,Triple_Standards!$D:$D,0))</f>
        <v>1.0093562931964835</v>
      </c>
      <c r="W30" s="175">
        <f>INDEX(Triple_Standards!$E:$E,MATCH(U30,Triple_Standards!$D:$D,0))</f>
        <v>1.0100702069618224</v>
      </c>
      <c r="X30" s="175" cm="1">
        <f t="array" ref="X30">TREND(V30:W30,T30:U30,A30,)</f>
        <v>1.0127085839207515</v>
      </c>
      <c r="Y30" s="175">
        <f>INDEX(Triple_Standards!$F:$F,MATCH(T30,Triple_Standards!$D:$D,0))</f>
        <v>1.004874943198578</v>
      </c>
      <c r="Z30" s="175">
        <f>INDEX(Triple_Standards!$F:$F,MATCH(U30,Triple_Standards!$D:$D,0))</f>
        <v>1.0051841532501662</v>
      </c>
      <c r="AA30" s="175" cm="1">
        <f t="array" ref="AA30">TREND(Y30:Z30,T30:U30,A30,TRUE)</f>
        <v>1.0063268860495433</v>
      </c>
      <c r="AB30" s="339" t="s">
        <v>387</v>
      </c>
    </row>
    <row r="31" spans="1:28" hidden="1" x14ac:dyDescent="0.2">
      <c r="A31" s="142">
        <f t="shared" si="0"/>
        <v>6.2638888888888893</v>
      </c>
      <c r="B31" s="42" t="s">
        <v>258</v>
      </c>
      <c r="C31" s="22">
        <v>45240</v>
      </c>
      <c r="D31" s="23" t="s">
        <v>44</v>
      </c>
      <c r="E31" s="24">
        <v>1.4</v>
      </c>
      <c r="F31" s="23">
        <v>484</v>
      </c>
      <c r="G31" s="25">
        <v>0.2638888888888889</v>
      </c>
      <c r="H31" s="26">
        <v>17.350000000000001</v>
      </c>
      <c r="I31" s="26"/>
      <c r="J31" s="26">
        <v>459.24</v>
      </c>
      <c r="K31" s="26">
        <v>456.66</v>
      </c>
      <c r="L31" s="26">
        <f t="shared" si="1"/>
        <v>2.5799999999999841</v>
      </c>
      <c r="M31" s="27">
        <v>31.714600000000001</v>
      </c>
      <c r="N31" s="27">
        <v>16.4695</v>
      </c>
      <c r="O31" s="35">
        <f t="shared" si="2"/>
        <v>21.064404969523366</v>
      </c>
      <c r="P31" s="35">
        <f t="shared" si="3"/>
        <v>10.976829614059966</v>
      </c>
      <c r="Q31" s="36">
        <f t="shared" si="4"/>
        <v>10.91702149089933</v>
      </c>
      <c r="R31" s="37">
        <f t="shared" si="5"/>
        <v>20.845617476619584</v>
      </c>
      <c r="S31" s="135">
        <f t="shared" si="6"/>
        <v>-8.9464536755810897E-2</v>
      </c>
      <c r="T31" s="10">
        <f>INDEX(Triple_Standards!$D:$D,MATCH(Triple_Calibrated!A36,Triple_Standards!$D:$D,1))</f>
        <v>6.6215277777810115</v>
      </c>
      <c r="U31" s="10" cm="1">
        <f t="array" ref="U31">INDEX(Triple_Standards!$D:$D,MATCH(Triple_Calibrated!A36,Triple_Standards!$D:$D,1)+1)</f>
        <v>6.9270833333357587</v>
      </c>
      <c r="V31" s="11">
        <f>INDEX(Triple_Standards!$E:$E,MATCH(T31,Triple_Standards!$D:$D,0))</f>
        <v>1.00978015216537</v>
      </c>
      <c r="W31" s="11">
        <f>INDEX(Triple_Standards!$E:$E,MATCH(U31,Triple_Standards!$D:$D,0))</f>
        <v>1.0092245296105571</v>
      </c>
      <c r="X31" s="11" cm="1">
        <f t="array" ref="X31">TREND(V31:W31,T31:U31,A31,)</f>
        <v>1.0104304831102153</v>
      </c>
      <c r="Y31" s="11">
        <f>INDEX(Triple_Standards!$F:$F,MATCH(T31,Triple_Standards!$D:$D,0))</f>
        <v>1.0050816085978236</v>
      </c>
      <c r="Z31" s="11">
        <f>INDEX(Triple_Standards!$F:$F,MATCH(U31,Triple_Standards!$D:$D,0))</f>
        <v>1.004781362584048</v>
      </c>
      <c r="AA31" s="11" cm="1">
        <f t="array" ref="AA31">TREND(Y31:Z31,T31:U31,A31,TRUE)</f>
        <v>1.0054330329094059</v>
      </c>
    </row>
    <row r="32" spans="1:28" s="238" customFormat="1" ht="17" thickBot="1" x14ac:dyDescent="0.25">
      <c r="A32" s="228">
        <f t="shared" si="0"/>
        <v>6.2722222222222221</v>
      </c>
      <c r="B32" s="229" t="s">
        <v>260</v>
      </c>
      <c r="C32" s="230">
        <v>45240</v>
      </c>
      <c r="D32" s="231" t="s">
        <v>44</v>
      </c>
      <c r="E32" s="232">
        <v>1.0900000000000001</v>
      </c>
      <c r="F32" s="231">
        <v>569</v>
      </c>
      <c r="G32" s="233">
        <f>G31+"0:12"</f>
        <v>0.27222222222222225</v>
      </c>
      <c r="H32" s="228">
        <v>19.059999999999999</v>
      </c>
      <c r="I32" s="228"/>
      <c r="J32" s="228">
        <v>463.39</v>
      </c>
      <c r="K32" s="228">
        <v>456.18</v>
      </c>
      <c r="L32" s="228">
        <f t="shared" si="1"/>
        <v>7.2099999999999795</v>
      </c>
      <c r="M32" s="234">
        <v>35.987900000000003</v>
      </c>
      <c r="N32" s="234">
        <v>18.684899999999999</v>
      </c>
      <c r="O32" s="235">
        <f t="shared" si="2"/>
        <v>25.986964650139726</v>
      </c>
      <c r="P32" s="235">
        <f t="shared" si="3"/>
        <v>13.602299693923896</v>
      </c>
      <c r="Q32" s="383">
        <f t="shared" si="4"/>
        <v>13.510618859949089</v>
      </c>
      <c r="R32" s="384">
        <f t="shared" si="5"/>
        <v>25.65504164851146</v>
      </c>
      <c r="S32" s="385">
        <f t="shared" si="6"/>
        <v>-3.5243130464962746E-2</v>
      </c>
      <c r="T32" s="236">
        <f>INDEX(Triple_Standards!$D:$D,MATCH(Triple_Calibrated!A37,Triple_Standards!$D:$D,1))</f>
        <v>6.9270833333357587</v>
      </c>
      <c r="U32" s="236" cm="1">
        <f t="array" ref="U32">INDEX(Triple_Standards!$D:$D,MATCH(Triple_Calibrated!A37,Triple_Standards!$D:$D,1)+1)</f>
        <v>7.2083333333357587</v>
      </c>
      <c r="V32" s="237">
        <f>INDEX(Triple_Standards!$E:$E,MATCH(T32,Triple_Standards!$D:$D,0))</f>
        <v>1.0092245296105571</v>
      </c>
      <c r="W32" s="237">
        <f>INDEX(Triple_Standards!$E:$E,MATCH(U32,Triple_Standards!$D:$D,0))</f>
        <v>1.0089998707531374</v>
      </c>
      <c r="X32" s="237" cm="1">
        <f t="array" ref="X32">TREND(V32:W32,T32:U32,A32,)</f>
        <v>1.0097476241847485</v>
      </c>
      <c r="Y32" s="237">
        <f>INDEX(Triple_Standards!$F:$F,MATCH(T32,Triple_Standards!$D:$D,0))</f>
        <v>1.004781362584048</v>
      </c>
      <c r="Z32" s="237">
        <f>INDEX(Triple_Standards!$F:$F,MATCH(U32,Triple_Standards!$D:$D,0))</f>
        <v>1.0046812805794563</v>
      </c>
      <c r="AA32" s="237" cm="1">
        <f t="array" ref="AA32">TREND(Y32:Z32,T32:U32,A32,TRUE)</f>
        <v>1.0050143930293083</v>
      </c>
    </row>
    <row r="33" spans="1:27" hidden="1" x14ac:dyDescent="0.2">
      <c r="A33" s="142">
        <f t="shared" si="0"/>
        <v>6.708333333333333</v>
      </c>
      <c r="B33" s="42" t="s">
        <v>266</v>
      </c>
      <c r="C33" s="22">
        <v>45240</v>
      </c>
      <c r="D33" s="23" t="s">
        <v>53</v>
      </c>
      <c r="E33" s="24">
        <v>1.1579999999999999</v>
      </c>
      <c r="F33" s="23">
        <v>527</v>
      </c>
      <c r="G33" s="25">
        <v>0.70833333333333337</v>
      </c>
      <c r="H33" s="26">
        <v>19.5</v>
      </c>
      <c r="I33" s="26"/>
      <c r="J33" s="26">
        <v>456.4</v>
      </c>
      <c r="K33" s="26">
        <v>456.76</v>
      </c>
      <c r="L33" s="26">
        <f t="shared" si="1"/>
        <v>-0.36000000000001364</v>
      </c>
      <c r="M33" s="27">
        <v>31.2118</v>
      </c>
      <c r="N33" s="27">
        <v>16.2194</v>
      </c>
      <c r="O33" s="35">
        <f t="shared" si="2"/>
        <v>21.383734340703654</v>
      </c>
      <c r="P33" s="35">
        <f t="shared" si="3"/>
        <v>11.167293290016914</v>
      </c>
      <c r="Q33" s="36">
        <f t="shared" si="4"/>
        <v>11.105399435243456</v>
      </c>
      <c r="R33" s="37">
        <f t="shared" si="5"/>
        <v>21.158310237464956</v>
      </c>
      <c r="S33" s="135">
        <f t="shared" si="6"/>
        <v>-6.6188370138041464E-2</v>
      </c>
      <c r="T33" s="10">
        <f>INDEX(Triple_Standards!$D:$D,MATCH(Triple_Calibrated!A35,Triple_Standards!$D:$D,1))</f>
        <v>6.6215277777810115</v>
      </c>
      <c r="U33" s="10" cm="1">
        <f t="array" ref="U33">INDEX(Triple_Standards!$D:$D,MATCH(Triple_Calibrated!A35,Triple_Standards!$D:$D,1)+1)</f>
        <v>6.9270833333357587</v>
      </c>
      <c r="V33" s="11">
        <f>INDEX(Triple_Standards!$E:$E,MATCH(T33,Triple_Standards!$D:$D,0))</f>
        <v>1.00978015216537</v>
      </c>
      <c r="W33" s="11">
        <f>INDEX(Triple_Standards!$E:$E,MATCH(U33,Triple_Standards!$D:$D,0))</f>
        <v>1.0092245296105571</v>
      </c>
      <c r="X33" s="11" cm="1">
        <f t="array" ref="X33">TREND(V33:W33,T33:U33,A33,)</f>
        <v>1.0096223048486672</v>
      </c>
      <c r="Y33" s="11">
        <f>INDEX(Triple_Standards!$F:$F,MATCH(T33,Triple_Standards!$D:$D,0))</f>
        <v>1.0050816085978236</v>
      </c>
      <c r="Z33" s="11">
        <f>INDEX(Triple_Standards!$F:$F,MATCH(U33,Triple_Standards!$D:$D,0))</f>
        <v>1.004781362584048</v>
      </c>
      <c r="AA33" s="11" cm="1">
        <f t="array" ref="AA33">TREND(Y33:Z33,T33:U33,A33,TRUE)</f>
        <v>1.0049963114348222</v>
      </c>
    </row>
    <row r="34" spans="1:27" hidden="1" x14ac:dyDescent="0.2">
      <c r="A34" s="142">
        <f t="shared" ref="A34:A56" si="7">C34-$A$1+G34</f>
        <v>6.760416666666667</v>
      </c>
      <c r="B34" s="42" t="s">
        <v>267</v>
      </c>
      <c r="C34" s="22">
        <v>45240</v>
      </c>
      <c r="D34" s="23" t="s">
        <v>53</v>
      </c>
      <c r="E34" s="24">
        <v>1.198</v>
      </c>
      <c r="F34" s="23">
        <v>619</v>
      </c>
      <c r="G34" s="25">
        <v>0.76041666666666663</v>
      </c>
      <c r="H34" s="26">
        <v>21.15</v>
      </c>
      <c r="I34" s="26"/>
      <c r="J34" s="26">
        <v>454.19</v>
      </c>
      <c r="K34" s="26">
        <v>456.76</v>
      </c>
      <c r="L34" s="26">
        <f t="shared" ref="L34:L56" si="8">J34-K34</f>
        <v>-2.5699999999999932</v>
      </c>
      <c r="M34" s="27">
        <v>31.5352</v>
      </c>
      <c r="N34" s="27">
        <v>16.4038</v>
      </c>
      <c r="O34" s="35">
        <f t="shared" ref="O34:O50" si="9">((1000+M34)/X34)-1000</f>
        <v>21.799902864031878</v>
      </c>
      <c r="P34" s="35">
        <f t="shared" ref="P34:P50" si="10">((1000+N34)/AA34)-1000</f>
        <v>11.402281065048328</v>
      </c>
      <c r="Q34" s="36">
        <f t="shared" ref="Q34:Q50" si="11">1000*(LN(P34/1000+1))</f>
        <v>11.337765015214812</v>
      </c>
      <c r="R34" s="37">
        <f t="shared" ref="R34:R50" si="12">1000*(LN(O34/1000+1))</f>
        <v>21.565682850974</v>
      </c>
      <c r="S34" s="135">
        <f t="shared" ref="S34:S50" si="13">Q34-0.528*R34</f>
        <v>-4.8915530099460369E-2</v>
      </c>
      <c r="T34" s="10">
        <f>INDEX(Triple_Standards!$D:$D,MATCH(Triple_Calibrated!A34,Triple_Standards!$D:$D,1))</f>
        <v>6.6215277777810115</v>
      </c>
      <c r="U34" s="10" cm="1">
        <f t="array" ref="U34">INDEX(Triple_Standards!$D:$D,MATCH(Triple_Calibrated!A34,Triple_Standards!$D:$D,1)+1)</f>
        <v>6.9270833333357587</v>
      </c>
      <c r="V34" s="11">
        <f>INDEX(Triple_Standards!$E:$E,MATCH(T34,Triple_Standards!$D:$D,0))</f>
        <v>1.00978015216537</v>
      </c>
      <c r="W34" s="11">
        <f>INDEX(Triple_Standards!$E:$E,MATCH(U34,Triple_Standards!$D:$D,0))</f>
        <v>1.0092245296105571</v>
      </c>
      <c r="X34" s="11" cm="1">
        <f t="array" ref="X34">TREND(V34:W34,T34:U34,A34,)</f>
        <v>1.0095275964586421</v>
      </c>
      <c r="Y34" s="11">
        <f>INDEX(Triple_Standards!$F:$F,MATCH(T34,Triple_Standards!$D:$D,0))</f>
        <v>1.0050816085978236</v>
      </c>
      <c r="Z34" s="11">
        <f>INDEX(Triple_Standards!$F:$F,MATCH(U34,Triple_Standards!$D:$D,0))</f>
        <v>1.004781362584048</v>
      </c>
      <c r="AA34" s="11" cm="1">
        <f t="array" ref="AA34">TREND(Y34:Z34,T34:U34,A34,TRUE)</f>
        <v>1.0049451331370194</v>
      </c>
    </row>
    <row r="35" spans="1:27" s="287" customFormat="1" ht="17" thickBot="1" x14ac:dyDescent="0.25">
      <c r="A35" s="277">
        <f t="shared" si="7"/>
        <v>6.8194444444444446</v>
      </c>
      <c r="B35" s="278" t="s">
        <v>269</v>
      </c>
      <c r="C35" s="279">
        <v>45240</v>
      </c>
      <c r="D35" s="280" t="s">
        <v>53</v>
      </c>
      <c r="E35" s="281">
        <v>1.2969999999999999</v>
      </c>
      <c r="F35" s="280">
        <v>517</v>
      </c>
      <c r="G35" s="282">
        <v>0.81944444444444453</v>
      </c>
      <c r="H35" s="277">
        <v>22.4</v>
      </c>
      <c r="I35" s="277"/>
      <c r="J35" s="277">
        <v>451.9</v>
      </c>
      <c r="K35" s="277">
        <v>456.75</v>
      </c>
      <c r="L35" s="277">
        <f t="shared" si="8"/>
        <v>-4.8500000000000227</v>
      </c>
      <c r="M35" s="283">
        <v>35.218899999999998</v>
      </c>
      <c r="N35" s="283">
        <v>18.2729</v>
      </c>
      <c r="O35" s="284">
        <f t="shared" si="9"/>
        <v>25.189189571747875</v>
      </c>
      <c r="P35" s="284">
        <f t="shared" si="10"/>
        <v>13.135593576744782</v>
      </c>
      <c r="Q35" s="386">
        <f t="shared" si="11"/>
        <v>13.050069790453854</v>
      </c>
      <c r="R35" s="387">
        <f t="shared" si="12"/>
        <v>24.877170750415758</v>
      </c>
      <c r="S35" s="388">
        <f t="shared" si="13"/>
        <v>-8.5076365765665685E-2</v>
      </c>
      <c r="T35" s="285">
        <f>INDEX(Triple_Standards!$D:$D,MATCH(Triple_Calibrated!A32,Triple_Standards!$D:$D,1))</f>
        <v>6.1354166666642413</v>
      </c>
      <c r="U35" s="285" cm="1">
        <f t="array" ref="U35">INDEX(Triple_Standards!$D:$D,MATCH(Triple_Calibrated!A32,Triple_Standards!$D:$D,1)+1)</f>
        <v>6.6215277777810115</v>
      </c>
      <c r="V35" s="286">
        <f>INDEX(Triple_Standards!$E:$E,MATCH(T35,Triple_Standards!$D:$D,0))</f>
        <v>1.0097724756732693</v>
      </c>
      <c r="W35" s="286">
        <f>INDEX(Triple_Standards!$E:$E,MATCH(U35,Triple_Standards!$D:$D,0))</f>
        <v>1.00978015216537</v>
      </c>
      <c r="X35" s="286" cm="1">
        <f t="array" ref="X35">TREND(V35:W35,T35:U35,A35,)</f>
        <v>1.0097832775942965</v>
      </c>
      <c r="Y35" s="286">
        <f>INDEX(Triple_Standards!$F:$F,MATCH(T35,Triple_Standards!$D:$D,0))</f>
        <v>1.005108402205352</v>
      </c>
      <c r="Z35" s="286">
        <f>INDEX(Triple_Standards!$F:$F,MATCH(U35,Triple_Standards!$D:$D,0))</f>
        <v>1.0050816085978236</v>
      </c>
      <c r="AA35" s="286" cm="1">
        <f t="array" ref="AA35">TREND(Y35:Z35,T35:U35,A35,TRUE)</f>
        <v>1.0050706997719019</v>
      </c>
    </row>
    <row r="36" spans="1:27" hidden="1" x14ac:dyDescent="0.2">
      <c r="A36" s="142">
        <f t="shared" si="7"/>
        <v>6.8784722222222223</v>
      </c>
      <c r="B36" s="42" t="s">
        <v>270</v>
      </c>
      <c r="C36" s="22">
        <v>45240</v>
      </c>
      <c r="D36" s="23" t="s">
        <v>53</v>
      </c>
      <c r="E36" s="24">
        <v>1.409</v>
      </c>
      <c r="F36" s="23">
        <v>576</v>
      </c>
      <c r="G36" s="25">
        <v>0.87847222222222221</v>
      </c>
      <c r="H36" s="26">
        <v>24</v>
      </c>
      <c r="I36" s="26"/>
      <c r="J36" s="26">
        <v>452.61</v>
      </c>
      <c r="K36" s="26">
        <v>456.73</v>
      </c>
      <c r="L36" s="26">
        <f t="shared" si="8"/>
        <v>-4.1200000000000045</v>
      </c>
      <c r="M36" s="27">
        <v>31.165700000000001</v>
      </c>
      <c r="N36" s="27">
        <v>16.234200000000001</v>
      </c>
      <c r="O36" s="35">
        <f t="shared" si="9"/>
        <v>21.651140464089622</v>
      </c>
      <c r="P36" s="35">
        <f t="shared" si="10"/>
        <v>11.350259139153536</v>
      </c>
      <c r="Q36" s="36">
        <f t="shared" si="11"/>
        <v>11.286328247867051</v>
      </c>
      <c r="R36" s="37">
        <f t="shared" si="12"/>
        <v>21.420083668952152</v>
      </c>
      <c r="S36" s="135">
        <f t="shared" si="13"/>
        <v>-2.3475929339685564E-2</v>
      </c>
      <c r="T36" s="10">
        <f>INDEX(Triple_Standards!$D:$D,MATCH(Triple_Calibrated!A33,Triple_Standards!$D:$D,1))</f>
        <v>6.6215277777810115</v>
      </c>
      <c r="U36" s="10" cm="1">
        <f t="array" ref="U36">INDEX(Triple_Standards!$D:$D,MATCH(Triple_Calibrated!A33,Triple_Standards!$D:$D,1)+1)</f>
        <v>6.9270833333357587</v>
      </c>
      <c r="V36" s="11">
        <f>INDEX(Triple_Standards!$E:$E,MATCH(T36,Triple_Standards!$D:$D,0))</f>
        <v>1.00978015216537</v>
      </c>
      <c r="W36" s="11">
        <f>INDEX(Triple_Standards!$E:$E,MATCH(U36,Triple_Standards!$D:$D,0))</f>
        <v>1.0092245296105571</v>
      </c>
      <c r="X36" s="11" cm="1">
        <f t="array" ref="X36">TREND(V36:W36,T36:U36,A36,)</f>
        <v>1.0093129241079184</v>
      </c>
      <c r="Y36" s="11">
        <f>INDEX(Triple_Standards!$F:$F,MATCH(T36,Triple_Standards!$D:$D,0))</f>
        <v>1.0050816085978236</v>
      </c>
      <c r="Z36" s="11">
        <f>INDEX(Triple_Standards!$F:$F,MATCH(U36,Triple_Standards!$D:$D,0))</f>
        <v>1.004781362584048</v>
      </c>
      <c r="AA36" s="11" cm="1">
        <f t="array" ref="AA36">TREND(Y36:Z36,T36:U36,A36,TRUE)</f>
        <v>1.0048291289953331</v>
      </c>
    </row>
    <row r="37" spans="1:27" s="198" customFormat="1" ht="17" thickBot="1" x14ac:dyDescent="0.25">
      <c r="A37" s="188">
        <f t="shared" si="7"/>
        <v>6.989583333333333</v>
      </c>
      <c r="B37" s="189" t="s">
        <v>272</v>
      </c>
      <c r="C37" s="190">
        <v>45240</v>
      </c>
      <c r="D37" s="191" t="s">
        <v>83</v>
      </c>
      <c r="E37" s="192">
        <v>1.1000000000000001</v>
      </c>
      <c r="F37" s="191">
        <v>640</v>
      </c>
      <c r="G37" s="193">
        <v>0.98958333333333337</v>
      </c>
      <c r="H37" s="188"/>
      <c r="I37" s="188"/>
      <c r="J37" s="188">
        <v>450.64</v>
      </c>
      <c r="K37" s="188">
        <v>456.29</v>
      </c>
      <c r="L37" s="188">
        <f t="shared" si="8"/>
        <v>-5.6500000000000341</v>
      </c>
      <c r="M37" s="194">
        <v>34.817799999999998</v>
      </c>
      <c r="N37" s="194">
        <v>18.1143</v>
      </c>
      <c r="O37" s="195">
        <f t="shared" si="9"/>
        <v>24.789248926797427</v>
      </c>
      <c r="P37" s="195">
        <f t="shared" si="10"/>
        <v>12.987245359952908</v>
      </c>
      <c r="Q37" s="356">
        <f t="shared" si="11"/>
        <v>12.903634229681217</v>
      </c>
      <c r="R37" s="357">
        <f t="shared" si="12"/>
        <v>24.486980646447879</v>
      </c>
      <c r="S37" s="358">
        <f t="shared" si="13"/>
        <v>-2.5491551643264998E-2</v>
      </c>
      <c r="T37" s="196">
        <f>INDEX(Triple_Standards!$D:$D,MATCH(Triple_Calibrated!A31,Triple_Standards!$D:$D,1))</f>
        <v>6.1354166666642413</v>
      </c>
      <c r="U37" s="196" cm="1">
        <f t="array" ref="U37">INDEX(Triple_Standards!$D:$D,MATCH(Triple_Calibrated!A31,Triple_Standards!$D:$D,1)+1)</f>
        <v>6.6215277777810115</v>
      </c>
      <c r="V37" s="197">
        <f>INDEX(Triple_Standards!$E:$E,MATCH(T37,Triple_Standards!$D:$D,0))</f>
        <v>1.0097724756732693</v>
      </c>
      <c r="W37" s="197">
        <f>INDEX(Triple_Standards!$E:$E,MATCH(U37,Triple_Standards!$D:$D,0))</f>
        <v>1.00978015216537</v>
      </c>
      <c r="X37" s="197" cm="1">
        <f t="array" ref="X37">TREND(V37:W37,T37:U37,A37,)</f>
        <v>1.0097859643665319</v>
      </c>
      <c r="Y37" s="197">
        <f>INDEX(Triple_Standards!$F:$F,MATCH(T37,Triple_Standards!$D:$D,0))</f>
        <v>1.005108402205352</v>
      </c>
      <c r="Z37" s="197">
        <f>INDEX(Triple_Standards!$F:$F,MATCH(U37,Triple_Standards!$D:$D,0))</f>
        <v>1.0050816085978236</v>
      </c>
      <c r="AA37" s="197" cm="1">
        <f t="array" ref="AA37">TREND(Y37:Z37,T37:U37,A37,TRUE)</f>
        <v>1.005061322009267</v>
      </c>
    </row>
    <row r="38" spans="1:27" hidden="1" x14ac:dyDescent="0.2">
      <c r="A38" s="142">
        <f t="shared" si="7"/>
        <v>7.0486111111111107</v>
      </c>
      <c r="B38" s="42" t="s">
        <v>273</v>
      </c>
      <c r="C38" s="22">
        <v>45241</v>
      </c>
      <c r="D38" s="23" t="s">
        <v>83</v>
      </c>
      <c r="E38" s="24">
        <v>1.526</v>
      </c>
      <c r="F38" s="23">
        <v>469</v>
      </c>
      <c r="G38" s="25">
        <v>4.8611111111111112E-2</v>
      </c>
      <c r="H38" s="26">
        <v>28</v>
      </c>
      <c r="I38" s="26"/>
      <c r="J38" s="26">
        <v>449.41</v>
      </c>
      <c r="K38" s="26">
        <v>456.51</v>
      </c>
      <c r="L38" s="26">
        <f t="shared" si="8"/>
        <v>-7.0999999999999659</v>
      </c>
      <c r="M38" s="27">
        <v>31.132100000000001</v>
      </c>
      <c r="N38" s="27">
        <v>16.130600000000001</v>
      </c>
      <c r="O38" s="35">
        <f t="shared" si="9"/>
        <v>21.805615435200139</v>
      </c>
      <c r="P38" s="35">
        <f t="shared" si="10"/>
        <v>11.338758359733674</v>
      </c>
      <c r="Q38" s="36">
        <f t="shared" si="11"/>
        <v>11.274956475617021</v>
      </c>
      <c r="R38" s="37">
        <f t="shared" si="12"/>
        <v>21.571273529915889</v>
      </c>
      <c r="S38" s="135">
        <f t="shared" si="13"/>
        <v>-0.11467594817856863</v>
      </c>
      <c r="T38" s="10">
        <f>INDEX(Triple_Standards!$D:$D,MATCH(Triple_Calibrated!A39,Triple_Standards!$D:$D,1))</f>
        <v>6.9270833333357587</v>
      </c>
      <c r="U38" s="10" cm="1">
        <f t="array" ref="U38">INDEX(Triple_Standards!$D:$D,MATCH(Triple_Calibrated!A39,Triple_Standards!$D:$D,1)+1)</f>
        <v>7.2083333333357587</v>
      </c>
      <c r="V38" s="11">
        <f>INDEX(Triple_Standards!$E:$E,MATCH(T38,Triple_Standards!$D:$D,0))</f>
        <v>1.0092245296105571</v>
      </c>
      <c r="W38" s="11">
        <f>INDEX(Triple_Standards!$E:$E,MATCH(U38,Triple_Standards!$D:$D,0))</f>
        <v>1.0089998707531374</v>
      </c>
      <c r="X38" s="11" cm="1">
        <f t="array" ref="X38">TREND(V38:W38,T38:U38,A38,)</f>
        <v>1.0091274547956244</v>
      </c>
      <c r="Y38" s="11">
        <f>INDEX(Triple_Standards!$F:$F,MATCH(T38,Triple_Standards!$D:$D,0))</f>
        <v>1.004781362584048</v>
      </c>
      <c r="Z38" s="11">
        <f>INDEX(Triple_Standards!$F:$F,MATCH(U38,Triple_Standards!$D:$D,0))</f>
        <v>1.0046812805794563</v>
      </c>
      <c r="AA38" s="11" cm="1">
        <f t="array" ref="AA38">TREND(Y38:Z38,T38:U38,A38,TRUE)</f>
        <v>1.0047381172734229</v>
      </c>
    </row>
    <row r="39" spans="1:27" hidden="1" x14ac:dyDescent="0.2">
      <c r="A39" s="142">
        <f t="shared" si="7"/>
        <v>7.09375</v>
      </c>
      <c r="B39" s="42" t="s">
        <v>277</v>
      </c>
      <c r="C39" s="22">
        <v>45241</v>
      </c>
      <c r="D39" s="23" t="s">
        <v>41</v>
      </c>
      <c r="E39" s="24">
        <v>1.373</v>
      </c>
      <c r="F39" s="23">
        <v>436</v>
      </c>
      <c r="G39" s="25">
        <v>9.375E-2</v>
      </c>
      <c r="H39" s="26">
        <v>29</v>
      </c>
      <c r="I39" s="26"/>
      <c r="J39" s="26">
        <v>449.05</v>
      </c>
      <c r="K39" s="26">
        <v>456.69</v>
      </c>
      <c r="L39" s="26">
        <f t="shared" si="8"/>
        <v>-7.6399999999999864</v>
      </c>
      <c r="M39" s="27">
        <v>31.040199999999999</v>
      </c>
      <c r="N39" s="27">
        <v>16.101600000000001</v>
      </c>
      <c r="O39" s="35">
        <f t="shared" si="9"/>
        <v>21.751054065302128</v>
      </c>
      <c r="P39" s="35">
        <f t="shared" si="10"/>
        <v>11.326062981256996</v>
      </c>
      <c r="Q39" s="36">
        <f t="shared" si="11"/>
        <v>11.262403354266494</v>
      </c>
      <c r="R39" s="37">
        <f t="shared" si="12"/>
        <v>21.517875089123521</v>
      </c>
      <c r="S39" s="135">
        <f t="shared" si="13"/>
        <v>-9.9034692790725742E-2</v>
      </c>
      <c r="T39" s="10">
        <f>INDEX(Triple_Standards!$D:$D,MATCH(Triple_Calibrated!A38,Triple_Standards!$D:$D,1))</f>
        <v>6.9270833333357587</v>
      </c>
      <c r="U39" s="10" cm="1">
        <f t="array" ref="U39">INDEX(Triple_Standards!$D:$D,MATCH(Triple_Calibrated!A38,Triple_Standards!$D:$D,1)+1)</f>
        <v>7.2083333333357587</v>
      </c>
      <c r="V39" s="11">
        <f>INDEX(Triple_Standards!$E:$E,MATCH(T39,Triple_Standards!$D:$D,0))</f>
        <v>1.0092245296105571</v>
      </c>
      <c r="W39" s="11">
        <f>INDEX(Triple_Standards!$E:$E,MATCH(U39,Triple_Standards!$D:$D,0))</f>
        <v>1.0089998707531374</v>
      </c>
      <c r="X39" s="11" cm="1">
        <f t="array" ref="X39">TREND(V39:W39,T39:U39,A39,)</f>
        <v>1.0090913984357917</v>
      </c>
      <c r="Y39" s="11">
        <f>INDEX(Triple_Standards!$F:$F,MATCH(T39,Triple_Standards!$D:$D,0))</f>
        <v>1.004781362584048</v>
      </c>
      <c r="Z39" s="11">
        <f>INDEX(Triple_Standards!$F:$F,MATCH(U39,Triple_Standards!$D:$D,0))</f>
        <v>1.0046812805794563</v>
      </c>
      <c r="AA39" s="11" cm="1">
        <f t="array" ref="AA39">TREND(Y39:Z39,T39:U39,A39,TRUE)</f>
        <v>1.004722054729476</v>
      </c>
    </row>
    <row r="40" spans="1:27" hidden="1" x14ac:dyDescent="0.2">
      <c r="A40" s="142">
        <f t="shared" si="7"/>
        <v>7.1527777777777777</v>
      </c>
      <c r="B40" s="42" t="s">
        <v>279</v>
      </c>
      <c r="C40" s="22">
        <v>45241</v>
      </c>
      <c r="D40" s="23" t="s">
        <v>41</v>
      </c>
      <c r="E40" s="24">
        <v>0.92</v>
      </c>
      <c r="F40" s="23">
        <v>400</v>
      </c>
      <c r="G40" s="25">
        <v>0.15277777777777776</v>
      </c>
      <c r="H40" s="26">
        <v>30.75</v>
      </c>
      <c r="I40" s="26"/>
      <c r="J40" s="26">
        <v>452.39</v>
      </c>
      <c r="K40" s="26">
        <v>456.79</v>
      </c>
      <c r="L40" s="26">
        <f t="shared" si="8"/>
        <v>-4.4000000000000341</v>
      </c>
      <c r="M40" s="27">
        <v>30.517399999999999</v>
      </c>
      <c r="N40" s="27">
        <v>15.8764</v>
      </c>
      <c r="O40" s="35">
        <f t="shared" si="9"/>
        <v>21.280684405248053</v>
      </c>
      <c r="P40" s="35">
        <f t="shared" si="10"/>
        <v>11.123060075625972</v>
      </c>
      <c r="Q40" s="36">
        <f t="shared" si="11"/>
        <v>11.061653773969566</v>
      </c>
      <c r="R40" s="37">
        <f t="shared" si="12"/>
        <v>21.057412669957102</v>
      </c>
      <c r="S40" s="135">
        <f t="shared" si="13"/>
        <v>-5.6660115767785513E-2</v>
      </c>
      <c r="T40" s="10">
        <f>INDEX(Triple_Standards!$D:$D,MATCH(Triple_Calibrated!A40,Triple_Standards!$D:$D,1))</f>
        <v>6.9270833333357587</v>
      </c>
      <c r="U40" s="10" cm="1">
        <f t="array" ref="U40">INDEX(Triple_Standards!$D:$D,MATCH(Triple_Calibrated!A40,Triple_Standards!$D:$D,1)+1)</f>
        <v>7.2083333333357587</v>
      </c>
      <c r="V40" s="11">
        <f>INDEX(Triple_Standards!$E:$E,MATCH(T40,Triple_Standards!$D:$D,0))</f>
        <v>1.0092245296105571</v>
      </c>
      <c r="W40" s="11">
        <f>INDEX(Triple_Standards!$E:$E,MATCH(U40,Triple_Standards!$D:$D,0))</f>
        <v>1.0089998707531374</v>
      </c>
      <c r="X40" s="11" cm="1">
        <f t="array" ref="X40">TREND(V40:W40,T40:U40,A40,)</f>
        <v>1.0090442478113948</v>
      </c>
      <c r="Y40" s="11">
        <f>INDEX(Triple_Standards!$F:$F,MATCH(T40,Triple_Standards!$D:$D,0))</f>
        <v>1.004781362584048</v>
      </c>
      <c r="Z40" s="11">
        <f>INDEX(Triple_Standards!$F:$F,MATCH(U40,Triple_Standards!$D:$D,0))</f>
        <v>1.0046812805794563</v>
      </c>
      <c r="AA40" s="11" cm="1">
        <f t="array" ref="AA40">TREND(Y40:Z40,T40:U40,A40,TRUE)</f>
        <v>1.0047010498643147</v>
      </c>
    </row>
    <row r="41" spans="1:27" hidden="1" x14ac:dyDescent="0.2">
      <c r="A41" s="142">
        <f t="shared" si="7"/>
        <v>7.4097222222222223</v>
      </c>
      <c r="B41" s="42" t="s">
        <v>286</v>
      </c>
      <c r="C41" s="22">
        <v>45241</v>
      </c>
      <c r="D41" s="23" t="s">
        <v>44</v>
      </c>
      <c r="E41" s="24">
        <v>0.95</v>
      </c>
      <c r="F41" s="23">
        <v>632</v>
      </c>
      <c r="G41" s="25">
        <v>0.40972222222222227</v>
      </c>
      <c r="H41" s="26">
        <v>12.5</v>
      </c>
      <c r="I41" s="26"/>
      <c r="J41" s="26">
        <v>458.43</v>
      </c>
      <c r="K41" s="26">
        <v>455.92</v>
      </c>
      <c r="L41" s="26">
        <f t="shared" si="8"/>
        <v>2.5099999999999909</v>
      </c>
      <c r="M41" s="27">
        <v>30.8658</v>
      </c>
      <c r="N41" s="27">
        <v>16.023599999999998</v>
      </c>
      <c r="O41" s="35">
        <f t="shared" si="9"/>
        <v>21.078167781494813</v>
      </c>
      <c r="P41" s="35">
        <f t="shared" si="10"/>
        <v>10.966334781144155</v>
      </c>
      <c r="Q41" s="36">
        <f t="shared" si="11"/>
        <v>10.906640553293645</v>
      </c>
      <c r="R41" s="37">
        <f t="shared" si="12"/>
        <v>20.859096273012408</v>
      </c>
      <c r="S41" s="135">
        <f t="shared" si="13"/>
        <v>-0.10696227885690668</v>
      </c>
      <c r="T41" s="10">
        <f>INDEX(Triple_Standards!$D:$D,MATCH(Triple_Calibrated!A41,Triple_Standards!$D:$D,1))</f>
        <v>7.2673611111094942</v>
      </c>
      <c r="U41" s="10" cm="1">
        <f t="array" ref="U41">INDEX(Triple_Standards!$D:$D,MATCH(Triple_Calibrated!A41,Triple_Standards!$D:$D,1)+1)</f>
        <v>7.5208333333357587</v>
      </c>
      <c r="V41" s="11">
        <f>INDEX(Triple_Standards!$E:$E,MATCH(T41,Triple_Standards!$D:$D,0))</f>
        <v>1.0095495658899991</v>
      </c>
      <c r="W41" s="11">
        <f>INDEX(Triple_Standards!$E:$E,MATCH(U41,Triple_Standards!$D:$D,0))</f>
        <v>1.0096136986088127</v>
      </c>
      <c r="X41" s="11" cm="1">
        <f t="array" ref="X41">TREND(V41:W41,T41:U41,A41,)</f>
        <v>1.0095855856361819</v>
      </c>
      <c r="Y41" s="11">
        <f>INDEX(Triple_Standards!$F:$F,MATCH(T41,Triple_Standards!$D:$D,0))</f>
        <v>1.0050006367397779</v>
      </c>
      <c r="Z41" s="11">
        <f>INDEX(Triple_Standards!$F:$F,MATCH(U41,Triple_Standards!$D:$D,0))</f>
        <v>1.0050037889288987</v>
      </c>
      <c r="AA41" s="11" cm="1">
        <f t="array" ref="AA41">TREND(Y41:Z41,T41:U41,A41,TRUE)</f>
        <v>1.0050024071473662</v>
      </c>
    </row>
    <row r="42" spans="1:27" s="238" customFormat="1" ht="17" thickBot="1" x14ac:dyDescent="0.25">
      <c r="A42" s="228">
        <f t="shared" si="7"/>
        <v>7.4611111111111112</v>
      </c>
      <c r="B42" s="229" t="s">
        <v>287</v>
      </c>
      <c r="C42" s="230">
        <v>45241</v>
      </c>
      <c r="D42" s="231" t="s">
        <v>44</v>
      </c>
      <c r="E42" s="232">
        <v>1.135</v>
      </c>
      <c r="F42" s="231">
        <v>584</v>
      </c>
      <c r="G42" s="233">
        <v>0.46111111111111108</v>
      </c>
      <c r="H42" s="228">
        <v>13.5</v>
      </c>
      <c r="I42" s="228"/>
      <c r="J42" s="228">
        <v>459.72</v>
      </c>
      <c r="K42" s="228">
        <v>456.56</v>
      </c>
      <c r="L42" s="228">
        <f t="shared" si="8"/>
        <v>3.160000000000025</v>
      </c>
      <c r="M42" s="234">
        <v>35.554600000000001</v>
      </c>
      <c r="N42" s="234">
        <v>18.502800000000001</v>
      </c>
      <c r="O42" s="235">
        <f t="shared" si="9"/>
        <v>25.709239717069295</v>
      </c>
      <c r="P42" s="235">
        <f t="shared" si="10"/>
        <v>13.432550109606495</v>
      </c>
      <c r="Q42" s="383">
        <f t="shared" si="11"/>
        <v>13.343133249397665</v>
      </c>
      <c r="R42" s="384">
        <f t="shared" si="12"/>
        <v>25.384314496825297</v>
      </c>
      <c r="S42" s="385">
        <f t="shared" si="13"/>
        <v>-5.9784804926092505E-2</v>
      </c>
      <c r="T42" s="236">
        <f>INDEX(Triple_Standards!$D:$D,MATCH(Triple_Calibrated!A42,Triple_Standards!$D:$D,1))</f>
        <v>7.2673611111094942</v>
      </c>
      <c r="U42" s="236" cm="1">
        <f t="array" ref="U42">INDEX(Triple_Standards!$D:$D,MATCH(Triple_Calibrated!A42,Triple_Standards!$D:$D,1)+1)</f>
        <v>7.5208333333357587</v>
      </c>
      <c r="V42" s="237">
        <f>INDEX(Triple_Standards!$E:$E,MATCH(T42,Triple_Standards!$D:$D,0))</f>
        <v>1.0095495658899991</v>
      </c>
      <c r="W42" s="237">
        <f>INDEX(Triple_Standards!$E:$E,MATCH(U42,Triple_Standards!$D:$D,0))</f>
        <v>1.0096136986088127</v>
      </c>
      <c r="X42" s="237" cm="1">
        <f t="array" ref="X42">TREND(V42:W42,T42:U42,A42,)</f>
        <v>1.0095985878860234</v>
      </c>
      <c r="Y42" s="237">
        <f>INDEX(Triple_Standards!$F:$F,MATCH(T42,Triple_Standards!$D:$D,0))</f>
        <v>1.0050006367397779</v>
      </c>
      <c r="Z42" s="237">
        <f>INDEX(Triple_Standards!$F:$F,MATCH(U42,Triple_Standards!$D:$D,0))</f>
        <v>1.0050037889288987</v>
      </c>
      <c r="AA42" s="237" cm="1">
        <f t="array" ref="AA42">TREND(Y42:Z42,T42:U42,A42,TRUE)</f>
        <v>1.0050030462213249</v>
      </c>
    </row>
    <row r="43" spans="1:27" hidden="1" x14ac:dyDescent="0.2">
      <c r="A43" s="142">
        <f t="shared" si="7"/>
        <v>7.583333333333333</v>
      </c>
      <c r="B43" s="4" t="s">
        <v>289</v>
      </c>
      <c r="C43" s="160">
        <v>45241</v>
      </c>
      <c r="D43" s="2" t="s">
        <v>53</v>
      </c>
      <c r="E43" s="161">
        <v>1.1399999999999999</v>
      </c>
      <c r="F43" s="2">
        <v>529</v>
      </c>
      <c r="G43" s="162">
        <v>0.58333333333333337</v>
      </c>
      <c r="H43" s="163">
        <v>16.5</v>
      </c>
      <c r="I43" s="163"/>
      <c r="J43" s="163">
        <v>453.61</v>
      </c>
      <c r="K43" s="163">
        <v>456.7</v>
      </c>
      <c r="L43" s="163">
        <f t="shared" si="8"/>
        <v>-3.089999999999975</v>
      </c>
      <c r="M43" s="3">
        <v>29.761399999999998</v>
      </c>
      <c r="N43" s="3">
        <v>15.459</v>
      </c>
      <c r="O43" s="35">
        <f t="shared" si="9"/>
        <v>19.957395169727761</v>
      </c>
      <c r="P43" s="35">
        <f t="shared" si="10"/>
        <v>10.402569186115898</v>
      </c>
      <c r="Q43" s="36">
        <f t="shared" si="11"/>
        <v>10.348834792514683</v>
      </c>
      <c r="R43" s="37">
        <f t="shared" si="12"/>
        <v>19.760856982368999</v>
      </c>
      <c r="S43" s="135">
        <f t="shared" si="13"/>
        <v>-8.489769417614923E-2</v>
      </c>
      <c r="T43" s="10">
        <f>INDEX(Triple_Standards!$D:$D,MATCH(Triple_Calibrated!A43,Triple_Standards!$D:$D,1))</f>
        <v>7.5208333333357587</v>
      </c>
      <c r="U43" s="10" cm="1">
        <f t="array" ref="U43">INDEX(Triple_Standards!$D:$D,MATCH(Triple_Calibrated!A43,Triple_Standards!$D:$D,1)+1)</f>
        <v>7.7951388888905058</v>
      </c>
      <c r="V43" s="11">
        <f>INDEX(Triple_Standards!$E:$E,MATCH(T43,Triple_Standards!$D:$D,0))</f>
        <v>1.0096136986088127</v>
      </c>
      <c r="W43" s="11">
        <f>INDEX(Triple_Standards!$E:$E,MATCH(U43,Triple_Standards!$D:$D,0))</f>
        <v>1.0096069938245731</v>
      </c>
      <c r="X43" s="11" cm="1">
        <f t="array" ref="X43">TREND(V43:W43,T43:U43,A43,)</f>
        <v>1.0096121709364545</v>
      </c>
      <c r="Y43" s="11">
        <f>INDEX(Triple_Standards!$F:$F,MATCH(T43,Triple_Standards!$D:$D,0))</f>
        <v>1.0050037889288987</v>
      </c>
      <c r="Z43" s="11">
        <f>INDEX(Triple_Standards!$F:$F,MATCH(U43,Triple_Standards!$D:$D,0))</f>
        <v>1.0050063500825597</v>
      </c>
      <c r="AA43" s="11" cm="1">
        <f t="array" ref="AA43">TREND(Y43:Z43,T43:U43,A43,TRUE)</f>
        <v>1.0050043724828976</v>
      </c>
    </row>
    <row r="44" spans="1:27" s="238" customFormat="1" ht="17" thickBot="1" x14ac:dyDescent="0.25">
      <c r="A44" s="228">
        <f t="shared" si="7"/>
        <v>7.635416666666667</v>
      </c>
      <c r="B44" s="239" t="s">
        <v>290</v>
      </c>
      <c r="C44" s="240">
        <v>45241</v>
      </c>
      <c r="D44" s="241" t="s">
        <v>53</v>
      </c>
      <c r="E44" s="242">
        <v>1.2090000000000001</v>
      </c>
      <c r="F44" s="241">
        <v>660</v>
      </c>
      <c r="G44" s="243">
        <v>0.63541666666666663</v>
      </c>
      <c r="H44" s="244">
        <v>17.75</v>
      </c>
      <c r="I44" s="244"/>
      <c r="J44" s="244">
        <v>452.61</v>
      </c>
      <c r="K44" s="244">
        <v>456.75</v>
      </c>
      <c r="L44" s="244">
        <f t="shared" si="8"/>
        <v>-4.1399999999999864</v>
      </c>
      <c r="M44" s="245">
        <v>35.837600000000002</v>
      </c>
      <c r="N44" s="245">
        <v>18.645099999999999</v>
      </c>
      <c r="O44" s="235">
        <f t="shared" si="9"/>
        <v>25.977039450560142</v>
      </c>
      <c r="P44" s="235">
        <f t="shared" si="10"/>
        <v>13.57231370870204</v>
      </c>
      <c r="Q44" s="383">
        <f t="shared" si="11"/>
        <v>13.481034841852491</v>
      </c>
      <c r="R44" s="384">
        <f t="shared" si="12"/>
        <v>25.645367795013051</v>
      </c>
      <c r="S44" s="385">
        <f t="shared" si="13"/>
        <v>-5.9719353914401196E-2</v>
      </c>
      <c r="T44" s="236">
        <f>INDEX(Triple_Standards!$D:$D,MATCH(Triple_Calibrated!A44,Triple_Standards!$D:$D,1))</f>
        <v>7.5208333333357587</v>
      </c>
      <c r="U44" s="236" cm="1">
        <f t="array" ref="U44">INDEX(Triple_Standards!$D:$D,MATCH(Triple_Calibrated!A44,Triple_Standards!$D:$D,1)+1)</f>
        <v>7.7951388888905058</v>
      </c>
      <c r="V44" s="237">
        <f>INDEX(Triple_Standards!$E:$E,MATCH(T44,Triple_Standards!$D:$D,0))</f>
        <v>1.0096136986088127</v>
      </c>
      <c r="W44" s="237">
        <f>INDEX(Triple_Standards!$E:$E,MATCH(U44,Triple_Standards!$D:$D,0))</f>
        <v>1.0096069938245731</v>
      </c>
      <c r="X44" s="237" cm="1">
        <f t="array" ref="X44">TREND(V44:W44,T44:U44,A44,)</f>
        <v>1.0096108978761558</v>
      </c>
      <c r="Y44" s="237">
        <f>INDEX(Triple_Standards!$F:$F,MATCH(T44,Triple_Standards!$D:$D,0))</f>
        <v>1.0050037889288987</v>
      </c>
      <c r="Z44" s="237">
        <f>INDEX(Triple_Standards!$F:$F,MATCH(U44,Triple_Standards!$D:$D,0))</f>
        <v>1.0050063500825597</v>
      </c>
      <c r="AA44" s="237" cm="1">
        <f t="array" ref="AA44">TREND(Y44:Z44,T44:U44,A44,TRUE)</f>
        <v>1.0050048587778966</v>
      </c>
    </row>
    <row r="45" spans="1:27" hidden="1" x14ac:dyDescent="0.2">
      <c r="A45" s="142">
        <f t="shared" si="7"/>
        <v>7.6875</v>
      </c>
      <c r="B45" s="4" t="s">
        <v>291</v>
      </c>
      <c r="C45" s="160">
        <v>45241</v>
      </c>
      <c r="D45" s="2" t="s">
        <v>53</v>
      </c>
      <c r="E45" s="161">
        <v>1.355</v>
      </c>
      <c r="F45" s="2">
        <v>530</v>
      </c>
      <c r="G45" s="162">
        <v>0.6875</v>
      </c>
      <c r="H45" s="163">
        <v>19</v>
      </c>
      <c r="I45" s="163"/>
      <c r="J45" s="163">
        <v>452.83</v>
      </c>
      <c r="K45" s="163">
        <v>456.73</v>
      </c>
      <c r="L45" s="163">
        <f t="shared" si="8"/>
        <v>-3.9000000000000341</v>
      </c>
      <c r="M45" s="3">
        <v>31.399899999999999</v>
      </c>
      <c r="N45" s="3">
        <v>16.318100000000001</v>
      </c>
      <c r="O45" s="35">
        <f t="shared" si="9"/>
        <v>21.582871882899212</v>
      </c>
      <c r="P45" s="35">
        <f t="shared" si="10"/>
        <v>11.256412697271685</v>
      </c>
      <c r="Q45" s="36">
        <f t="shared" si="11"/>
        <v>11.193530727463386</v>
      </c>
      <c r="R45" s="37">
        <f t="shared" si="12"/>
        <v>21.353259623538637</v>
      </c>
      <c r="S45" s="135">
        <f t="shared" si="13"/>
        <v>-8.0990353765015399E-2</v>
      </c>
      <c r="T45" s="10">
        <f>INDEX(Triple_Standards!$D:$D,MATCH(Triple_Calibrated!A45,Triple_Standards!$D:$D,1))</f>
        <v>7.5208333333357587</v>
      </c>
      <c r="U45" s="10" cm="1">
        <f t="array" ref="U45">INDEX(Triple_Standards!$D:$D,MATCH(Triple_Calibrated!A45,Triple_Standards!$D:$D,1)+1)</f>
        <v>7.7951388888905058</v>
      </c>
      <c r="V45" s="11">
        <f>INDEX(Triple_Standards!$E:$E,MATCH(T45,Triple_Standards!$D:$D,0))</f>
        <v>1.0096136986088127</v>
      </c>
      <c r="W45" s="11">
        <f>INDEX(Triple_Standards!$E:$E,MATCH(U45,Triple_Standards!$D:$D,0))</f>
        <v>1.0096069938245731</v>
      </c>
      <c r="X45" s="11" cm="1">
        <f t="array" ref="X45">TREND(V45:W45,T45:U45,A45,)</f>
        <v>1.0096096248158573</v>
      </c>
      <c r="Y45" s="11">
        <f>INDEX(Triple_Standards!$F:$F,MATCH(T45,Triple_Standards!$D:$D,0))</f>
        <v>1.0050037889288987</v>
      </c>
      <c r="Z45" s="11">
        <f>INDEX(Triple_Standards!$F:$F,MATCH(U45,Triple_Standards!$D:$D,0))</f>
        <v>1.0050063500825597</v>
      </c>
      <c r="AA45" s="11" cm="1">
        <f t="array" ref="AA45">TREND(Y45:Z45,T45:U45,A45,TRUE)</f>
        <v>1.0050053450728955</v>
      </c>
    </row>
    <row r="46" spans="1:27" s="257" customFormat="1" ht="17" thickBot="1" x14ac:dyDescent="0.25">
      <c r="A46" s="246">
        <f t="shared" si="7"/>
        <v>7.739583333333333</v>
      </c>
      <c r="B46" s="247" t="s">
        <v>292</v>
      </c>
      <c r="C46" s="248">
        <v>45241</v>
      </c>
      <c r="D46" s="249" t="s">
        <v>53</v>
      </c>
      <c r="E46" s="250">
        <v>1.171</v>
      </c>
      <c r="F46" s="249">
        <v>613</v>
      </c>
      <c r="G46" s="251">
        <v>0.73958333333333337</v>
      </c>
      <c r="H46" s="252">
        <v>20.25</v>
      </c>
      <c r="I46" s="252"/>
      <c r="J46" s="252">
        <v>452.49</v>
      </c>
      <c r="K46" s="252">
        <v>456.78</v>
      </c>
      <c r="L46" s="252">
        <f t="shared" si="8"/>
        <v>-4.2899999999999636</v>
      </c>
      <c r="M46" s="253">
        <v>35.863100000000003</v>
      </c>
      <c r="N46" s="253">
        <v>18.615300000000001</v>
      </c>
      <c r="O46" s="254">
        <f t="shared" si="9"/>
        <v>26.00488416997382</v>
      </c>
      <c r="P46" s="254">
        <f t="shared" si="10"/>
        <v>13.541681259283791</v>
      </c>
      <c r="Q46" s="389">
        <f t="shared" si="11"/>
        <v>13.450812121772104</v>
      </c>
      <c r="R46" s="390">
        <f t="shared" si="12"/>
        <v>25.672507136831744</v>
      </c>
      <c r="S46" s="391">
        <f t="shared" si="13"/>
        <v>-0.10427164647505727</v>
      </c>
      <c r="T46" s="255">
        <f>INDEX(Triple_Standards!$D:$D,MATCH(Triple_Calibrated!A46,Triple_Standards!$D:$D,1))</f>
        <v>7.5208333333357587</v>
      </c>
      <c r="U46" s="255" cm="1">
        <f t="array" ref="U46">INDEX(Triple_Standards!$D:$D,MATCH(Triple_Calibrated!A46,Triple_Standards!$D:$D,1)+1)</f>
        <v>7.7951388888905058</v>
      </c>
      <c r="V46" s="256">
        <f>INDEX(Triple_Standards!$E:$E,MATCH(T46,Triple_Standards!$D:$D,0))</f>
        <v>1.0096136986088127</v>
      </c>
      <c r="W46" s="256">
        <f>INDEX(Triple_Standards!$E:$E,MATCH(U46,Triple_Standards!$D:$D,0))</f>
        <v>1.0096069938245731</v>
      </c>
      <c r="X46" s="256" cm="1">
        <f t="array" ref="X46">TREND(V46:W46,T46:U46,A46,)</f>
        <v>1.0096083517555585</v>
      </c>
      <c r="Y46" s="256">
        <f>INDEX(Triple_Standards!$F:$F,MATCH(T46,Triple_Standards!$D:$D,0))</f>
        <v>1.0050037889288987</v>
      </c>
      <c r="Z46" s="256">
        <f>INDEX(Triple_Standards!$F:$F,MATCH(U46,Triple_Standards!$D:$D,0))</f>
        <v>1.0050063500825597</v>
      </c>
      <c r="AA46" s="256" cm="1">
        <f t="array" ref="AA46">TREND(Y46:Z46,T46:U46,A46,TRUE)</f>
        <v>1.0050058313678945</v>
      </c>
    </row>
    <row r="47" spans="1:27" hidden="1" x14ac:dyDescent="0.2">
      <c r="A47" s="142">
        <f t="shared" si="7"/>
        <v>7.864583333333333</v>
      </c>
      <c r="B47" s="4" t="s">
        <v>295</v>
      </c>
      <c r="C47" s="160">
        <v>45241</v>
      </c>
      <c r="D47" s="2" t="s">
        <v>53</v>
      </c>
      <c r="E47" s="161">
        <v>1.593</v>
      </c>
      <c r="F47" s="2">
        <v>529</v>
      </c>
      <c r="G47" s="162">
        <v>0.86458333333333337</v>
      </c>
      <c r="H47" s="163">
        <v>23.25</v>
      </c>
      <c r="I47" s="163"/>
      <c r="J47" s="163">
        <v>455.17</v>
      </c>
      <c r="K47" s="163">
        <v>456.75</v>
      </c>
      <c r="L47" s="163">
        <f t="shared" si="8"/>
        <v>-1.5799999999999841</v>
      </c>
      <c r="M47" s="3">
        <v>30.776499999999999</v>
      </c>
      <c r="N47" s="3">
        <v>15.9712</v>
      </c>
      <c r="O47" s="35">
        <f t="shared" si="9"/>
        <v>21.049904275675203</v>
      </c>
      <c r="P47" s="35">
        <f t="shared" si="10"/>
        <v>10.953374905456144</v>
      </c>
      <c r="Q47" s="36">
        <f t="shared" si="11"/>
        <v>10.893821176118545</v>
      </c>
      <c r="R47" s="37">
        <f t="shared" si="12"/>
        <v>20.831415829059566</v>
      </c>
      <c r="S47" s="135">
        <f t="shared" si="13"/>
        <v>-0.10516638162490644</v>
      </c>
      <c r="T47" s="10">
        <f>INDEX(Triple_Standards!$D:$D,MATCH(Triple_Calibrated!A47,Triple_Standards!$D:$D,1))</f>
        <v>7.7951388888905058</v>
      </c>
      <c r="U47" s="10" cm="1">
        <f t="array" ref="U47">INDEX(Triple_Standards!$D:$D,MATCH(Triple_Calibrated!A47,Triple_Standards!$D:$D,1)+1)</f>
        <v>8.0833333333357587</v>
      </c>
      <c r="V47" s="11">
        <f>INDEX(Triple_Standards!$E:$E,MATCH(T47,Triple_Standards!$D:$D,0))</f>
        <v>1.0096069938245731</v>
      </c>
      <c r="W47" s="11">
        <f>INDEX(Triple_Standards!$E:$E,MATCH(U47,Triple_Standards!$D:$D,0))</f>
        <v>1.0092711715878762</v>
      </c>
      <c r="X47" s="11" cm="1">
        <f t="array" ref="X47">TREND(V47:W47,T47:U47,A47,)</f>
        <v>1.0095260728036841</v>
      </c>
      <c r="Y47" s="11">
        <f>INDEX(Triple_Standards!$F:$F,MATCH(T47,Triple_Standards!$D:$D,0))</f>
        <v>1.0050063500825597</v>
      </c>
      <c r="Z47" s="11">
        <f>INDEX(Triple_Standards!$F:$F,MATCH(U47,Triple_Standards!$D:$D,0))</f>
        <v>1.0048283499031332</v>
      </c>
      <c r="AA47" s="11" cm="1">
        <f t="array" ref="AA47">TREND(Y47:Z47,T47:U47,A47,TRUE)</f>
        <v>1.0049634584730607</v>
      </c>
    </row>
    <row r="48" spans="1:27" s="257" customFormat="1" ht="17" thickBot="1" x14ac:dyDescent="0.25">
      <c r="A48" s="246">
        <f t="shared" si="7"/>
        <v>7.927083333333333</v>
      </c>
      <c r="B48" s="247" t="s">
        <v>296</v>
      </c>
      <c r="C48" s="248">
        <v>45241</v>
      </c>
      <c r="D48" s="249" t="s">
        <v>53</v>
      </c>
      <c r="E48" s="250">
        <v>1.171</v>
      </c>
      <c r="F48" s="249">
        <v>613</v>
      </c>
      <c r="G48" s="251">
        <v>0.92708333333333337</v>
      </c>
      <c r="H48" s="252">
        <v>20.25</v>
      </c>
      <c r="I48" s="252"/>
      <c r="J48" s="252">
        <v>454.33</v>
      </c>
      <c r="K48" s="252">
        <v>456.66</v>
      </c>
      <c r="L48" s="252">
        <f t="shared" si="8"/>
        <v>-2.3300000000000409</v>
      </c>
      <c r="M48" s="253">
        <v>35.728000000000002</v>
      </c>
      <c r="N48" s="253">
        <v>18.581199999999999</v>
      </c>
      <c r="O48" s="254">
        <f t="shared" si="9"/>
        <v>26.028700461646849</v>
      </c>
      <c r="P48" s="254">
        <f t="shared" si="10"/>
        <v>13.589418048145603</v>
      </c>
      <c r="Q48" s="389">
        <f t="shared" si="11"/>
        <v>13.49791000200959</v>
      </c>
      <c r="R48" s="390">
        <f t="shared" si="12"/>
        <v>25.695719516836114</v>
      </c>
      <c r="S48" s="391">
        <f t="shared" si="13"/>
        <v>-6.9429902879878824E-2</v>
      </c>
      <c r="T48" s="255">
        <f>INDEX(Triple_Standards!$D:$D,MATCH(Triple_Calibrated!A48,Triple_Standards!$D:$D,1))</f>
        <v>7.7951388888905058</v>
      </c>
      <c r="U48" s="255" cm="1">
        <f t="array" ref="U48">INDEX(Triple_Standards!$D:$D,MATCH(Triple_Calibrated!A48,Triple_Standards!$D:$D,1)+1)</f>
        <v>8.0833333333357587</v>
      </c>
      <c r="V48" s="256">
        <f>INDEX(Triple_Standards!$E:$E,MATCH(T48,Triple_Standards!$D:$D,0))</f>
        <v>1.0096069938245731</v>
      </c>
      <c r="W48" s="256">
        <f>INDEX(Triple_Standards!$E:$E,MATCH(U48,Triple_Standards!$D:$D,0))</f>
        <v>1.0092711715878762</v>
      </c>
      <c r="X48" s="256" cm="1">
        <f t="array" ref="X48">TREND(V48:W48,T48:U48,A48,)</f>
        <v>1.0094532438848827</v>
      </c>
      <c r="Y48" s="256">
        <f>INDEX(Triple_Standards!$F:$F,MATCH(T48,Triple_Standards!$D:$D,0))</f>
        <v>1.0050063500825597</v>
      </c>
      <c r="Z48" s="256">
        <f>INDEX(Triple_Standards!$F:$F,MATCH(U48,Triple_Standards!$D:$D,0))</f>
        <v>1.0048283499031332</v>
      </c>
      <c r="AA48" s="256" cm="1">
        <f t="array" ref="AA48">TREND(Y48:Z48,T48:U48,A48,TRUE)</f>
        <v>1.0049248560245103</v>
      </c>
    </row>
    <row r="49" spans="1:27" hidden="1" x14ac:dyDescent="0.2">
      <c r="A49" s="142">
        <f t="shared" si="7"/>
        <v>7.979166666666667</v>
      </c>
      <c r="B49" s="4" t="s">
        <v>297</v>
      </c>
      <c r="C49" s="160">
        <v>45241</v>
      </c>
      <c r="D49" s="2" t="s">
        <v>96</v>
      </c>
      <c r="E49" s="161">
        <v>1.3080000000000001</v>
      </c>
      <c r="F49" s="2">
        <v>650</v>
      </c>
      <c r="G49" s="162">
        <v>0.97916666666666663</v>
      </c>
      <c r="H49" s="163">
        <v>25.75</v>
      </c>
      <c r="I49" s="163"/>
      <c r="J49" s="163">
        <v>453.41</v>
      </c>
      <c r="K49" s="163">
        <v>456.82</v>
      </c>
      <c r="L49" s="163">
        <f t="shared" si="8"/>
        <v>-3.4099999999999682</v>
      </c>
      <c r="M49" s="3">
        <v>31.021100000000001</v>
      </c>
      <c r="N49" s="3">
        <v>16.186599999999999</v>
      </c>
      <c r="O49" s="35">
        <f t="shared" si="9"/>
        <v>21.292196185304306</v>
      </c>
      <c r="P49" s="35">
        <f t="shared" si="10"/>
        <v>11.167711056869393</v>
      </c>
      <c r="Q49" s="36">
        <f t="shared" si="11"/>
        <v>11.105812588209259</v>
      </c>
      <c r="R49" s="37">
        <f t="shared" si="12"/>
        <v>21.068684512607934</v>
      </c>
      <c r="S49" s="135">
        <f t="shared" si="13"/>
        <v>-1.8452834447730382E-2</v>
      </c>
      <c r="T49" s="10">
        <f>INDEX(Triple_Standards!$D:$D,MATCH(Triple_Calibrated!A49,Triple_Standards!$D:$D,1))</f>
        <v>7.7951388888905058</v>
      </c>
      <c r="U49" s="10" cm="1">
        <f t="array" ref="U49">INDEX(Triple_Standards!$D:$D,MATCH(Triple_Calibrated!A49,Triple_Standards!$D:$D,1)+1)</f>
        <v>8.0833333333357587</v>
      </c>
      <c r="V49" s="11">
        <f>INDEX(Triple_Standards!$E:$E,MATCH(T49,Triple_Standards!$D:$D,0))</f>
        <v>1.0096069938245731</v>
      </c>
      <c r="W49" s="11">
        <f>INDEX(Triple_Standards!$E:$E,MATCH(U49,Triple_Standards!$D:$D,0))</f>
        <v>1.0092711715878762</v>
      </c>
      <c r="X49" s="11" cm="1">
        <f t="array" ref="X49">TREND(V49:W49,T49:U49,A47,)</f>
        <v>1.0095260728036841</v>
      </c>
      <c r="Y49" s="11">
        <f>INDEX(Triple_Standards!$F:$F,MATCH(T49,Triple_Standards!$D:$D,0))</f>
        <v>1.0050063500825597</v>
      </c>
      <c r="Z49" s="11">
        <f>INDEX(Triple_Standards!$F:$F,MATCH(U49,Triple_Standards!$D:$D,0))</f>
        <v>1.0048283499031332</v>
      </c>
      <c r="AA49" s="11" cm="1">
        <f t="array" ref="AA49">TREND(Y49:Z49,T49:U49,A47,TRUE)</f>
        <v>1.0049634584730607</v>
      </c>
    </row>
    <row r="50" spans="1:27" s="275" customFormat="1" ht="17" thickBot="1" x14ac:dyDescent="0.25">
      <c r="A50" s="264">
        <f t="shared" si="7"/>
        <v>8.1284722222222214</v>
      </c>
      <c r="B50" s="265" t="s">
        <v>301</v>
      </c>
      <c r="C50" s="266">
        <v>45242</v>
      </c>
      <c r="D50" s="267" t="s">
        <v>41</v>
      </c>
      <c r="E50" s="268">
        <v>3.4489999999999998</v>
      </c>
      <c r="F50" s="267">
        <v>458</v>
      </c>
      <c r="G50" s="269">
        <v>0.12847222222222224</v>
      </c>
      <c r="H50" s="270" t="s">
        <v>161</v>
      </c>
      <c r="I50" s="270"/>
      <c r="J50" s="270">
        <v>451.75</v>
      </c>
      <c r="K50" s="270">
        <v>456.52</v>
      </c>
      <c r="L50" s="270">
        <f t="shared" si="8"/>
        <v>-4.7699999999999818</v>
      </c>
      <c r="M50" s="271">
        <v>33.959299999999999</v>
      </c>
      <c r="N50" s="271">
        <v>17.616299999999999</v>
      </c>
      <c r="O50" s="272">
        <f t="shared" si="9"/>
        <v>24.763995104236074</v>
      </c>
      <c r="P50" s="272">
        <f t="shared" si="10"/>
        <v>12.869960179501732</v>
      </c>
      <c r="Q50" s="392">
        <f t="shared" si="11"/>
        <v>12.787846028754212</v>
      </c>
      <c r="R50" s="393">
        <f t="shared" si="12"/>
        <v>24.462337400280763</v>
      </c>
      <c r="S50" s="394">
        <f t="shared" si="13"/>
        <v>-0.12826811859403264</v>
      </c>
      <c r="T50" s="273">
        <f>INDEX(Triple_Standards!$D:$D,MATCH(Triple_Calibrated!A50,Triple_Standards!$D:$D,1))</f>
        <v>8.0833333333357587</v>
      </c>
      <c r="U50" s="273" cm="1">
        <f t="array" ref="U50">INDEX(Triple_Standards!$D:$D,MATCH(Triple_Calibrated!A50,Triple_Standards!$D:$D,1)+1)</f>
        <v>8.2861111111124046</v>
      </c>
      <c r="V50" s="274">
        <f>INDEX(Triple_Standards!$E:$E,MATCH(T50,Triple_Standards!$D:$D,0))</f>
        <v>1.0092711715878762</v>
      </c>
      <c r="W50" s="274">
        <f>INDEX(Triple_Standards!$E:$E,MATCH(U50,Triple_Standards!$D:$D,0))</f>
        <v>1.0096580084872657</v>
      </c>
      <c r="X50" s="274" cm="1">
        <f t="array" ref="X50">TREND(V50:W50,T50:U50,A48,)</f>
        <v>1.0089730952099156</v>
      </c>
      <c r="Y50" s="274">
        <f>INDEX(Triple_Standards!$F:$F,MATCH(T50,Triple_Standards!$D:$D,0))</f>
        <v>1.0048283499031332</v>
      </c>
      <c r="Z50" s="274">
        <f>INDEX(Triple_Standards!$F:$F,MATCH(U50,Triple_Standards!$D:$D,0))</f>
        <v>1.0050130484844417</v>
      </c>
      <c r="AA50" s="274" cm="1">
        <f t="array" ref="AA50">TREND(Y50:Z50,T50:U50,A48,TRUE)</f>
        <v>1.0046860307908205</v>
      </c>
    </row>
    <row r="51" spans="1:27" hidden="1" x14ac:dyDescent="0.2">
      <c r="A51" s="142">
        <f t="shared" si="7"/>
        <v>8.1840277777777786</v>
      </c>
      <c r="B51" s="100" t="s">
        <v>304</v>
      </c>
      <c r="C51" s="129">
        <v>45242</v>
      </c>
      <c r="D51" s="100" t="s">
        <v>41</v>
      </c>
      <c r="E51" s="107">
        <v>1.1080000000000001</v>
      </c>
      <c r="F51" s="100">
        <v>502</v>
      </c>
      <c r="G51" s="108">
        <v>0.18402777777777779</v>
      </c>
      <c r="H51" s="103">
        <v>30</v>
      </c>
      <c r="I51" s="103"/>
      <c r="J51" s="103">
        <v>453.72</v>
      </c>
      <c r="K51" s="103">
        <v>456.34</v>
      </c>
      <c r="L51" s="103">
        <f t="shared" si="8"/>
        <v>-2.6199999999999477</v>
      </c>
      <c r="M51" s="104">
        <v>32.067300000000003</v>
      </c>
      <c r="N51" s="104">
        <v>16.6096</v>
      </c>
      <c r="O51" s="35">
        <f t="shared" ref="O51:O68" si="14">((1000+M51)/X51)-1000</f>
        <v>22.788101990319205</v>
      </c>
      <c r="P51" s="35">
        <f t="shared" ref="P51:P68" si="15">((1000+N51)/AA51)-1000</f>
        <v>11.820179036362674</v>
      </c>
      <c r="Q51" s="36">
        <f t="shared" ref="Q51:Q68" si="16">1000*(LN(P51/1000+1))</f>
        <v>11.750866377520085</v>
      </c>
      <c r="R51" s="37">
        <f t="shared" ref="R51:R68" si="17">1000*(LN(O51/1000+1))</f>
        <v>22.532331584987478</v>
      </c>
      <c r="S51" s="135">
        <f t="shared" ref="S51:S68" si="18">Q51-0.528*R51</f>
        <v>-0.14620469935330505</v>
      </c>
      <c r="T51" s="10">
        <f>INDEX(Triple_Standards!$D:$D,MATCH(Triple_Calibrated!A51,Triple_Standards!$D:$D,1))</f>
        <v>8.0833333333357587</v>
      </c>
      <c r="U51" s="10" cm="1">
        <f t="array" ref="U51">INDEX(Triple_Standards!$D:$D,MATCH(Triple_Calibrated!A51,Triple_Standards!$D:$D,1)+1)</f>
        <v>8.2861111111124046</v>
      </c>
      <c r="V51" s="11">
        <f>INDEX(Triple_Standards!$E:$E,MATCH(T51,Triple_Standards!$D:$D,0))</f>
        <v>1.0092711715878762</v>
      </c>
      <c r="W51" s="11">
        <f>INDEX(Triple_Standards!$E:$E,MATCH(U51,Triple_Standards!$D:$D,0))</f>
        <v>1.0096580084872657</v>
      </c>
      <c r="X51" s="11" cm="1">
        <f t="array" ref="X51">TREND(V51:W51,T51:U51,A49,)</f>
        <v>1.0090724540025677</v>
      </c>
      <c r="Y51" s="11">
        <f>INDEX(Triple_Standards!$F:$F,MATCH(T51,Triple_Standards!$D:$D,0))</f>
        <v>1.0048283499031332</v>
      </c>
      <c r="Z51" s="11">
        <f>INDEX(Triple_Standards!$F:$F,MATCH(U51,Triple_Standards!$D:$D,0))</f>
        <v>1.0050130484844417</v>
      </c>
      <c r="AA51" s="11" cm="1">
        <f t="array" ref="AA51">TREND(Y51:Z51,T51:U51,A49,TRUE)</f>
        <v>1.004733470494924</v>
      </c>
    </row>
    <row r="52" spans="1:27" ht="17" thickBot="1" x14ac:dyDescent="0.25">
      <c r="A52" s="142">
        <f t="shared" si="7"/>
        <v>8.2361111111111107</v>
      </c>
      <c r="B52" s="47" t="s">
        <v>305</v>
      </c>
      <c r="C52" s="62">
        <v>45242</v>
      </c>
      <c r="D52" s="47" t="s">
        <v>41</v>
      </c>
      <c r="E52" s="48">
        <v>2.863</v>
      </c>
      <c r="F52" s="47">
        <v>550</v>
      </c>
      <c r="G52" s="67">
        <v>0.23611111111111113</v>
      </c>
      <c r="H52" s="49" t="s">
        <v>161</v>
      </c>
      <c r="I52" s="49"/>
      <c r="J52" s="49">
        <v>452.41</v>
      </c>
      <c r="K52" s="49">
        <v>456.3</v>
      </c>
      <c r="L52" s="49">
        <f t="shared" si="8"/>
        <v>-3.8899999999999864</v>
      </c>
      <c r="M52" s="63">
        <v>35.342700000000001</v>
      </c>
      <c r="N52" s="63">
        <v>18.341999999999999</v>
      </c>
      <c r="O52" s="35">
        <f t="shared" si="14"/>
        <v>25.744518722911153</v>
      </c>
      <c r="P52" s="35">
        <f t="shared" si="15"/>
        <v>13.407249563357027</v>
      </c>
      <c r="Q52" s="395">
        <f t="shared" si="16"/>
        <v>13.318167737811816</v>
      </c>
      <c r="R52" s="396">
        <f t="shared" si="17"/>
        <v>25.418708648484923</v>
      </c>
      <c r="S52" s="397">
        <f t="shared" si="18"/>
        <v>-0.10291042858822408</v>
      </c>
      <c r="T52" s="10">
        <f>INDEX(Triple_Standards!$D:$D,MATCH(Triple_Calibrated!A52,Triple_Standards!$D:$D,1))</f>
        <v>8.0833333333357587</v>
      </c>
      <c r="U52" s="10" cm="1">
        <f t="array" ref="U52">INDEX(Triple_Standards!$D:$D,MATCH(Triple_Calibrated!A52,Triple_Standards!$D:$D,1)+1)</f>
        <v>8.2861111111124046</v>
      </c>
      <c r="V52" s="11">
        <f>INDEX(Triple_Standards!$E:$E,MATCH(T52,Triple_Standards!$D:$D,0))</f>
        <v>1.0092711715878762</v>
      </c>
      <c r="W52" s="11">
        <f>INDEX(Triple_Standards!$E:$E,MATCH(U52,Triple_Standards!$D:$D,0))</f>
        <v>1.0096580084872657</v>
      </c>
      <c r="X52" s="11" cm="1">
        <f t="array" ref="X52">TREND(V52:W52,T52:U52,A50,)</f>
        <v>1.0093572825415034</v>
      </c>
      <c r="Y52" s="11">
        <f>INDEX(Triple_Standards!$F:$F,MATCH(T52,Triple_Standards!$D:$D,0))</f>
        <v>1.0048283499031332</v>
      </c>
      <c r="Z52" s="11">
        <f>INDEX(Triple_Standards!$F:$F,MATCH(U52,Triple_Standards!$D:$D,0))</f>
        <v>1.0050130484844417</v>
      </c>
      <c r="AA52" s="11" cm="1">
        <f t="array" ref="AA52">TREND(Y52:Z52,T52:U52,A50,TRUE)</f>
        <v>1.004869464313354</v>
      </c>
    </row>
    <row r="53" spans="1:27" hidden="1" x14ac:dyDescent="0.2">
      <c r="A53" s="142">
        <f t="shared" si="7"/>
        <v>8.3645833333333339</v>
      </c>
      <c r="B53" s="100" t="s">
        <v>306</v>
      </c>
      <c r="C53" s="129">
        <v>45242</v>
      </c>
      <c r="D53" s="100" t="s">
        <v>44</v>
      </c>
      <c r="E53" s="100">
        <v>0.89500000000000002</v>
      </c>
      <c r="F53" s="100">
        <v>565</v>
      </c>
      <c r="G53" s="108">
        <v>0.36458333333333331</v>
      </c>
      <c r="H53" s="103"/>
      <c r="I53" s="103"/>
      <c r="J53" s="103">
        <v>454.26</v>
      </c>
      <c r="K53" s="103">
        <v>456.89</v>
      </c>
      <c r="L53" s="103">
        <f t="shared" si="8"/>
        <v>-2.6299999999999955</v>
      </c>
      <c r="M53" s="104">
        <v>31.643699999999999</v>
      </c>
      <c r="N53" s="104">
        <v>16.475999999999999</v>
      </c>
      <c r="O53" s="35">
        <f t="shared" si="14"/>
        <v>21.758289132616824</v>
      </c>
      <c r="P53" s="35">
        <f t="shared" si="15"/>
        <v>11.392598874688929</v>
      </c>
      <c r="Q53" s="36">
        <f t="shared" si="16"/>
        <v>11.328191933479898</v>
      </c>
      <c r="R53" s="37">
        <f t="shared" si="17"/>
        <v>21.524956111130027</v>
      </c>
      <c r="S53" s="135">
        <f t="shared" si="18"/>
        <v>-3.6984893196756019E-2</v>
      </c>
      <c r="T53" s="10">
        <f>INDEX(Triple_Standards!$D:$D,MATCH(Triple_Calibrated!A53,Triple_Standards!$D:$D,1))</f>
        <v>8.2861111111124046</v>
      </c>
      <c r="U53" s="10" cm="1">
        <f t="array" ref="U53">INDEX(Triple_Standards!$D:$D,MATCH(Triple_Calibrated!A53,Triple_Standards!$D:$D,1)+1)</f>
        <v>8.5902777777810115</v>
      </c>
      <c r="V53" s="11">
        <f>INDEX(Triple_Standards!$E:$E,MATCH(T53,Triple_Standards!$D:$D,0))</f>
        <v>1.0096580084872657</v>
      </c>
      <c r="W53" s="11">
        <f>INDEX(Triple_Standards!$E:$E,MATCH(U53,Triple_Standards!$D:$D,0))</f>
        <v>1.0096076740200757</v>
      </c>
      <c r="X53" s="11" cm="1">
        <f t="array" ref="X53">TREND(V53:W53,T53:U53,A51,)</f>
        <v>1.0096749015618705</v>
      </c>
      <c r="Y53" s="11">
        <f>INDEX(Triple_Standards!$F:$F,MATCH(T53,Triple_Standards!$D:$D,0))</f>
        <v>1.0050130484844417</v>
      </c>
      <c r="Z53" s="11">
        <f>INDEX(Triple_Standards!$F:$F,MATCH(U53,Triple_Standards!$D:$D,0))</f>
        <v>1.0049740401440694</v>
      </c>
      <c r="AA53" s="11" cm="1">
        <f t="array" ref="AA53">TREND(Y53:Z53,T53:U53,A51,TRUE)</f>
        <v>1.0050261403247038</v>
      </c>
    </row>
    <row r="54" spans="1:27" s="287" customFormat="1" ht="17" thickBot="1" x14ac:dyDescent="0.25">
      <c r="A54" s="277">
        <f t="shared" si="7"/>
        <v>8.4375</v>
      </c>
      <c r="B54" s="288" t="s">
        <v>307</v>
      </c>
      <c r="C54" s="289">
        <v>45242</v>
      </c>
      <c r="D54" s="288" t="s">
        <v>44</v>
      </c>
      <c r="E54" s="290">
        <v>1.3120000000000001</v>
      </c>
      <c r="F54" s="288">
        <v>473</v>
      </c>
      <c r="G54" s="291">
        <v>0.4375</v>
      </c>
      <c r="H54" s="292"/>
      <c r="I54" s="292"/>
      <c r="J54" s="292">
        <v>450.1</v>
      </c>
      <c r="K54" s="292">
        <v>456.21</v>
      </c>
      <c r="L54" s="292">
        <f t="shared" si="8"/>
        <v>-6.1099999999999568</v>
      </c>
      <c r="M54" s="293">
        <v>35.217399999999998</v>
      </c>
      <c r="N54" s="293">
        <v>18.271899999999999</v>
      </c>
      <c r="O54" s="284">
        <f t="shared" si="14"/>
        <v>25.306497595202018</v>
      </c>
      <c r="P54" s="284">
        <f t="shared" si="15"/>
        <v>13.186251313875459</v>
      </c>
      <c r="Q54" s="386">
        <f t="shared" si="16"/>
        <v>13.10006948548644</v>
      </c>
      <c r="R54" s="387">
        <f t="shared" si="17"/>
        <v>24.991589936289838</v>
      </c>
      <c r="S54" s="388">
        <f t="shared" si="18"/>
        <v>-9.5490000874594472E-2</v>
      </c>
      <c r="T54" s="285">
        <f>INDEX(Triple_Standards!$D:$D,MATCH(Triple_Calibrated!A54,Triple_Standards!$D:$D,1))</f>
        <v>8.2861111111124046</v>
      </c>
      <c r="U54" s="285" cm="1">
        <f t="array" ref="U54">INDEX(Triple_Standards!$D:$D,MATCH(Triple_Calibrated!A54,Triple_Standards!$D:$D,1)+1)</f>
        <v>8.5902777777810115</v>
      </c>
      <c r="V54" s="286">
        <f>INDEX(Triple_Standards!$E:$E,MATCH(T54,Triple_Standards!$D:$D,0))</f>
        <v>1.0096580084872657</v>
      </c>
      <c r="W54" s="286">
        <f>INDEX(Triple_Standards!$E:$E,MATCH(U54,Triple_Standards!$D:$D,0))</f>
        <v>1.0096076740200757</v>
      </c>
      <c r="X54" s="286" cm="1">
        <f t="array" ref="X54">TREND(V54:W54,T54:U54,A52,)</f>
        <v>1.0096662826462559</v>
      </c>
      <c r="Y54" s="286">
        <f>INDEX(Triple_Standards!$F:$F,MATCH(T54,Triple_Standards!$D:$D,0))</f>
        <v>1.0050130484844417</v>
      </c>
      <c r="Z54" s="286">
        <f>INDEX(Triple_Standards!$F:$F,MATCH(U54,Triple_Standards!$D:$D,0))</f>
        <v>1.0049740401440694</v>
      </c>
      <c r="AA54" s="286" cm="1">
        <f t="array" ref="AA54">TREND(Y54:Z54,T54:U54,A52,TRUE)</f>
        <v>1.0050194608143661</v>
      </c>
    </row>
    <row r="55" spans="1:27" hidden="1" x14ac:dyDescent="0.2">
      <c r="A55" s="142">
        <f t="shared" si="7"/>
        <v>8.4861111111111107</v>
      </c>
      <c r="B55" s="100" t="s">
        <v>308</v>
      </c>
      <c r="C55" s="129">
        <v>45242</v>
      </c>
      <c r="D55" s="100" t="s">
        <v>44</v>
      </c>
      <c r="E55" s="107">
        <v>1.518</v>
      </c>
      <c r="F55" s="100"/>
      <c r="G55" s="108">
        <v>0.4861111111111111</v>
      </c>
      <c r="H55" s="103"/>
      <c r="I55" s="103"/>
      <c r="J55" s="103">
        <v>453.98</v>
      </c>
      <c r="K55" s="103">
        <v>456.45</v>
      </c>
      <c r="L55" s="103">
        <f t="shared" si="8"/>
        <v>-2.4699999999999704</v>
      </c>
      <c r="M55" s="104">
        <v>31.717500000000001</v>
      </c>
      <c r="N55" s="104">
        <v>16.4862</v>
      </c>
      <c r="O55" s="35">
        <f t="shared" si="14"/>
        <v>21.861621510859436</v>
      </c>
      <c r="P55" s="35">
        <f t="shared" si="15"/>
        <v>11.426050953160825</v>
      </c>
      <c r="Q55" s="36">
        <f t="shared" si="16"/>
        <v>11.361266651747515</v>
      </c>
      <c r="R55" s="37">
        <f t="shared" si="17"/>
        <v>21.626082918314022</v>
      </c>
      <c r="S55" s="135">
        <f t="shared" si="18"/>
        <v>-5.7305129122289244E-2</v>
      </c>
      <c r="T55" s="10">
        <f>INDEX(Triple_Standards!$D:$D,MATCH(Triple_Calibrated!A55,Triple_Standards!$D:$D,1))</f>
        <v>8.2861111111124046</v>
      </c>
      <c r="U55" s="10" cm="1">
        <f t="array" ref="U55">INDEX(Triple_Standards!$D:$D,MATCH(Triple_Calibrated!A55,Triple_Standards!$D:$D,1)+1)</f>
        <v>8.5902777777810115</v>
      </c>
      <c r="V55" s="11">
        <f>INDEX(Triple_Standards!$E:$E,MATCH(T55,Triple_Standards!$D:$D,0))</f>
        <v>1.0096580084872657</v>
      </c>
      <c r="W55" s="11">
        <f>INDEX(Triple_Standards!$E:$E,MATCH(U55,Triple_Standards!$D:$D,0))</f>
        <v>1.0096076740200757</v>
      </c>
      <c r="X55" s="11" cm="1">
        <f t="array" ref="X55">TREND(V55:W55,T55:U55,A53,)</f>
        <v>1.0096450226544063</v>
      </c>
      <c r="Y55" s="11">
        <f>INDEX(Triple_Standards!$F:$F,MATCH(T55,Triple_Standards!$D:$D,0))</f>
        <v>1.0050130484844417</v>
      </c>
      <c r="Z55" s="11">
        <f>INDEX(Triple_Standards!$F:$F,MATCH(U55,Triple_Standards!$D:$D,0))</f>
        <v>1.0049740401440694</v>
      </c>
      <c r="AA55" s="11" cm="1">
        <f t="array" ref="AA55">TREND(Y55:Z55,T55:U55,A53,TRUE)</f>
        <v>1.0050029846888664</v>
      </c>
    </row>
    <row r="56" spans="1:27" s="198" customFormat="1" ht="17" thickBot="1" x14ac:dyDescent="0.25">
      <c r="A56" s="188">
        <f t="shared" si="7"/>
        <v>8.5381944444444446</v>
      </c>
      <c r="B56" s="199" t="s">
        <v>309</v>
      </c>
      <c r="C56" s="200">
        <v>45242</v>
      </c>
      <c r="D56" s="199" t="s">
        <v>44</v>
      </c>
      <c r="E56" s="201">
        <v>1.0669999999999999</v>
      </c>
      <c r="F56" s="199"/>
      <c r="G56" s="202">
        <v>0.53819444444444442</v>
      </c>
      <c r="H56" s="203"/>
      <c r="I56" s="203"/>
      <c r="J56" s="203">
        <v>454.23</v>
      </c>
      <c r="K56" s="203">
        <v>456.7</v>
      </c>
      <c r="L56" s="203">
        <f t="shared" si="8"/>
        <v>-2.4699999999999704</v>
      </c>
      <c r="M56" s="204">
        <v>34.668700000000001</v>
      </c>
      <c r="N56" s="204">
        <v>17.997199999999999</v>
      </c>
      <c r="O56" s="195">
        <f t="shared" si="14"/>
        <v>24.796876601931899</v>
      </c>
      <c r="P56" s="195">
        <f t="shared" si="15"/>
        <v>12.938954231924072</v>
      </c>
      <c r="Q56" s="356">
        <f t="shared" si="16"/>
        <v>12.855961093268135</v>
      </c>
      <c r="R56" s="357">
        <f t="shared" si="17"/>
        <v>24.494423783420416</v>
      </c>
      <c r="S56" s="358">
        <f t="shared" si="18"/>
        <v>-7.7094664377845845E-2</v>
      </c>
      <c r="T56" s="196">
        <f>INDEX(Triple_Standards!$D:$D,MATCH(Triple_Calibrated!A56,Triple_Standards!$D:$D,1))</f>
        <v>8.2861111111124046</v>
      </c>
      <c r="U56" s="196" cm="1">
        <f t="array" ref="U56">INDEX(Triple_Standards!$D:$D,MATCH(Triple_Calibrated!A56,Triple_Standards!$D:$D,1)+1)</f>
        <v>8.5902777777810115</v>
      </c>
      <c r="V56" s="197">
        <f>INDEX(Triple_Standards!$E:$E,MATCH(T56,Triple_Standards!$D:$D,0))</f>
        <v>1.0096580084872657</v>
      </c>
      <c r="W56" s="197">
        <f>INDEX(Triple_Standards!$E:$E,MATCH(U56,Triple_Standards!$D:$D,0))</f>
        <v>1.0096076740200757</v>
      </c>
      <c r="X56" s="197" cm="1">
        <f t="array" ref="X56">TREND(V56:W56,T56:U56,A54,)</f>
        <v>1.0096329561725457</v>
      </c>
      <c r="Y56" s="197">
        <f>INDEX(Triple_Standards!$F:$F,MATCH(T56,Triple_Standards!$D:$D,0))</f>
        <v>1.0050130484844417</v>
      </c>
      <c r="Z56" s="197">
        <f>INDEX(Triple_Standards!$F:$F,MATCH(U56,Triple_Standards!$D:$D,0))</f>
        <v>1.0049740401440694</v>
      </c>
      <c r="AA56" s="197" cm="1">
        <f t="array" ref="AA56">TREND(Y56:Z56,T56:U56,A54,TRUE)</f>
        <v>1.0049936333743936</v>
      </c>
    </row>
    <row r="57" spans="1:27" hidden="1" x14ac:dyDescent="0.2">
      <c r="A57" s="142">
        <f t="shared" ref="A57:A67" si="19">C57-$A$1+G57</f>
        <v>8.6458333333333339</v>
      </c>
      <c r="B57" s="100" t="s">
        <v>310</v>
      </c>
      <c r="C57" s="129">
        <v>45242</v>
      </c>
      <c r="D57" s="100" t="s">
        <v>53</v>
      </c>
      <c r="E57" s="107">
        <v>1.26</v>
      </c>
      <c r="F57" s="100">
        <v>533</v>
      </c>
      <c r="G57" s="108">
        <v>0.64583333333333337</v>
      </c>
      <c r="H57" s="103"/>
      <c r="I57" s="103"/>
      <c r="J57" s="103">
        <v>454.53</v>
      </c>
      <c r="K57" s="103">
        <v>456.49</v>
      </c>
      <c r="L57" s="103">
        <f t="shared" ref="L57:L90" si="20">J57-K57</f>
        <v>-1.9600000000000364</v>
      </c>
      <c r="M57" s="104">
        <v>31.618600000000001</v>
      </c>
      <c r="N57" s="104">
        <v>16.425899999999999</v>
      </c>
      <c r="O57" s="35">
        <f t="shared" si="14"/>
        <v>21.830855303014346</v>
      </c>
      <c r="P57" s="35">
        <f t="shared" si="15"/>
        <v>11.437275899710585</v>
      </c>
      <c r="Q57" s="36">
        <f t="shared" si="16"/>
        <v>11.37236472881572</v>
      </c>
      <c r="R57" s="37">
        <f t="shared" si="17"/>
        <v>21.595974466874978</v>
      </c>
      <c r="S57" s="135">
        <f t="shared" si="18"/>
        <v>-3.0309789694268119E-2</v>
      </c>
      <c r="T57" s="10">
        <f>INDEX(Triple_Standards!$D:$D,MATCH(Triple_Calibrated!A57,Triple_Standards!$D:$D,1))</f>
        <v>8.5902777777810115</v>
      </c>
      <c r="U57" s="10" cm="1">
        <f t="array" ref="U57">INDEX(Triple_Standards!$D:$D,MATCH(Triple_Calibrated!A57,Triple_Standards!$D:$D,1)+1)</f>
        <v>8.8611111111094942</v>
      </c>
      <c r="V57" s="11">
        <f>INDEX(Triple_Standards!$E:$E,MATCH(T57,Triple_Standards!$D:$D,0))</f>
        <v>1.0096076740200757</v>
      </c>
      <c r="W57" s="11">
        <f>INDEX(Triple_Standards!$E:$E,MATCH(U57,Triple_Standards!$D:$D,0))</f>
        <v>1.0096831757208606</v>
      </c>
      <c r="X57" s="11" cm="1">
        <f t="array" ref="X57">TREND(V57:W57,T57:U57,A55,)</f>
        <v>1.0095786349043876</v>
      </c>
      <c r="Y57" s="11">
        <f>INDEX(Triple_Standards!$F:$F,MATCH(T57,Triple_Standards!$D:$D,0))</f>
        <v>1.0049740401440694</v>
      </c>
      <c r="Z57" s="11">
        <f>INDEX(Triple_Standards!$F:$F,MATCH(U57,Triple_Standards!$D:$D,0))</f>
        <v>1.0050827906687438</v>
      </c>
      <c r="AA57" s="11" cm="1">
        <f t="array" ref="AA57">TREND(Y57:Z57,T57:U57,A55,TRUE)</f>
        <v>1.0049322130191927</v>
      </c>
    </row>
    <row r="58" spans="1:27" hidden="1" x14ac:dyDescent="0.2">
      <c r="A58" s="142">
        <f t="shared" si="19"/>
        <v>8.7048611111111107</v>
      </c>
      <c r="B58" s="100" t="s">
        <v>313</v>
      </c>
      <c r="C58" s="129">
        <v>45242</v>
      </c>
      <c r="D58" s="100" t="s">
        <v>53</v>
      </c>
      <c r="E58" s="107">
        <v>1.042</v>
      </c>
      <c r="F58" s="100">
        <v>634</v>
      </c>
      <c r="G58" s="108">
        <v>0.70486111111111116</v>
      </c>
      <c r="H58" s="103"/>
      <c r="I58" s="103"/>
      <c r="J58" s="103">
        <v>454.09</v>
      </c>
      <c r="K58" s="103">
        <v>456.56</v>
      </c>
      <c r="L58" s="103">
        <f t="shared" si="20"/>
        <v>-2.4700000000000273</v>
      </c>
      <c r="M58" s="104">
        <v>31.933700000000002</v>
      </c>
      <c r="N58" s="104">
        <v>16.475200000000001</v>
      </c>
      <c r="O58" s="35">
        <f t="shared" si="14"/>
        <v>22.128265667241749</v>
      </c>
      <c r="P58" s="35">
        <f t="shared" si="15"/>
        <v>11.465284413375684</v>
      </c>
      <c r="Q58" s="36">
        <f t="shared" si="16"/>
        <v>11.400056140370886</v>
      </c>
      <c r="R58" s="37">
        <f t="shared" si="17"/>
        <v>21.886988473246134</v>
      </c>
      <c r="S58" s="135">
        <f t="shared" si="18"/>
        <v>-0.1562737735030737</v>
      </c>
      <c r="T58" s="10">
        <f>INDEX(Triple_Standards!$D:$D,MATCH(Triple_Calibrated!A58,Triple_Standards!$D:$D,1))</f>
        <v>8.5902777777810115</v>
      </c>
      <c r="U58" s="10" cm="1">
        <f t="array" ref="U58">INDEX(Triple_Standards!$D:$D,MATCH(Triple_Calibrated!A58,Triple_Standards!$D:$D,1)+1)</f>
        <v>8.8611111111094942</v>
      </c>
      <c r="V58" s="11">
        <f>INDEX(Triple_Standards!$E:$E,MATCH(T58,Triple_Standards!$D:$D,0))</f>
        <v>1.0096076740200757</v>
      </c>
      <c r="W58" s="11">
        <f>INDEX(Triple_Standards!$E:$E,MATCH(U58,Triple_Standards!$D:$D,0))</f>
        <v>1.0096831757208606</v>
      </c>
      <c r="X58" s="11" cm="1">
        <f t="array" ref="X58">TREND(V58:W58,T58:U58,A56,)</f>
        <v>1.0095931544622312</v>
      </c>
      <c r="Y58" s="11">
        <f>INDEX(Triple_Standards!$F:$F,MATCH(T58,Triple_Standards!$D:$D,0))</f>
        <v>1.0049740401440694</v>
      </c>
      <c r="Z58" s="11">
        <f>INDEX(Triple_Standards!$F:$F,MATCH(U58,Triple_Standards!$D:$D,0))</f>
        <v>1.0050827906687438</v>
      </c>
      <c r="AA58" s="11" cm="1">
        <f t="array" ref="AA58">TREND(Y58:Z58,T58:U58,A56,TRUE)</f>
        <v>1.0049531265816305</v>
      </c>
    </row>
    <row r="59" spans="1:27" s="287" customFormat="1" ht="17" thickBot="1" x14ac:dyDescent="0.25">
      <c r="A59" s="277">
        <f t="shared" si="19"/>
        <v>8.7569444444444446</v>
      </c>
      <c r="B59" s="288" t="s">
        <v>315</v>
      </c>
      <c r="C59" s="289">
        <v>45242</v>
      </c>
      <c r="D59" s="288" t="s">
        <v>53</v>
      </c>
      <c r="E59" s="290">
        <v>1.3220000000000001</v>
      </c>
      <c r="F59" s="288">
        <v>565</v>
      </c>
      <c r="G59" s="291">
        <v>0.75694444444444453</v>
      </c>
      <c r="H59" s="292"/>
      <c r="I59" s="292"/>
      <c r="J59" s="292">
        <v>454.82</v>
      </c>
      <c r="K59" s="292">
        <v>456.7</v>
      </c>
      <c r="L59" s="292">
        <f t="shared" si="20"/>
        <v>-1.8799999999999955</v>
      </c>
      <c r="M59" s="293">
        <v>34.960099999999997</v>
      </c>
      <c r="N59" s="293">
        <v>18.185400000000001</v>
      </c>
      <c r="O59" s="284">
        <f t="shared" si="14"/>
        <v>25.095440968985031</v>
      </c>
      <c r="P59" s="284">
        <f t="shared" si="15"/>
        <v>13.123482570837155</v>
      </c>
      <c r="Q59" s="386">
        <f t="shared" si="16"/>
        <v>13.038115735762222</v>
      </c>
      <c r="R59" s="387">
        <f t="shared" si="17"/>
        <v>24.785721396085261</v>
      </c>
      <c r="S59" s="388">
        <f t="shared" si="18"/>
        <v>-4.8745161370796097E-2</v>
      </c>
      <c r="T59" s="285">
        <f>INDEX(Triple_Standards!$D:$D,MATCH(Triple_Calibrated!A59,Triple_Standards!$D:$D,1))</f>
        <v>8.5902777777810115</v>
      </c>
      <c r="U59" s="285" cm="1">
        <f t="array" ref="U59">INDEX(Triple_Standards!$D:$D,MATCH(Triple_Calibrated!A59,Triple_Standards!$D:$D,1)+1)</f>
        <v>8.8611111111094942</v>
      </c>
      <c r="V59" s="286">
        <f>INDEX(Triple_Standards!$E:$E,MATCH(T59,Triple_Standards!$D:$D,0))</f>
        <v>1.0096076740200757</v>
      </c>
      <c r="W59" s="286">
        <f>INDEX(Triple_Standards!$E:$E,MATCH(U59,Triple_Standards!$D:$D,0))</f>
        <v>1.0096831757208606</v>
      </c>
      <c r="X59" s="286" cm="1">
        <f t="array" ref="X59">TREND(V59:W59,T59:U59,A57,)</f>
        <v>1.009623161548441</v>
      </c>
      <c r="Y59" s="286">
        <f>INDEX(Triple_Standards!$F:$F,MATCH(T59,Triple_Standards!$D:$D,0))</f>
        <v>1.0049740401440694</v>
      </c>
      <c r="Z59" s="286">
        <f>INDEX(Triple_Standards!$F:$F,MATCH(U59,Triple_Standards!$D:$D,0))</f>
        <v>1.0050827906687438</v>
      </c>
      <c r="AA59" s="286" cm="1">
        <f t="array" ref="AA59">TREND(Y59:Z59,T59:U59,A57,TRUE)</f>
        <v>1.0049963479440018</v>
      </c>
    </row>
    <row r="60" spans="1:27" hidden="1" x14ac:dyDescent="0.2">
      <c r="A60" s="142">
        <f t="shared" si="19"/>
        <v>8.8090277777777786</v>
      </c>
      <c r="B60" s="100" t="s">
        <v>316</v>
      </c>
      <c r="C60" s="129">
        <v>45242</v>
      </c>
      <c r="D60" s="100" t="s">
        <v>53</v>
      </c>
      <c r="E60" s="107">
        <v>1.1419999999999999</v>
      </c>
      <c r="F60" s="100">
        <v>504</v>
      </c>
      <c r="G60" s="108">
        <v>0.80902777777777779</v>
      </c>
      <c r="H60" s="103"/>
      <c r="I60" s="103"/>
      <c r="J60" s="103">
        <v>454.36</v>
      </c>
      <c r="K60" s="103">
        <v>456.61</v>
      </c>
      <c r="L60" s="103">
        <f t="shared" si="20"/>
        <v>-2.25</v>
      </c>
      <c r="M60" s="104">
        <v>31.0672</v>
      </c>
      <c r="N60" s="104">
        <v>16.1572</v>
      </c>
      <c r="O60" s="35">
        <f t="shared" si="14"/>
        <v>21.223001347088484</v>
      </c>
      <c r="P60" s="35">
        <f t="shared" si="15"/>
        <v>11.081520233128231</v>
      </c>
      <c r="Q60" s="36">
        <f t="shared" si="16"/>
        <v>11.020570054836385</v>
      </c>
      <c r="R60" s="37">
        <f t="shared" si="17"/>
        <v>21.000929973179343</v>
      </c>
      <c r="S60" s="135">
        <f t="shared" si="18"/>
        <v>-6.7920971002308761E-2</v>
      </c>
      <c r="T60" s="10">
        <f>INDEX(Triple_Standards!$D:$D,MATCH(Triple_Calibrated!A60,Triple_Standards!$D:$D,1))</f>
        <v>8.5902777777810115</v>
      </c>
      <c r="U60" s="10" cm="1">
        <f t="array" ref="U60">INDEX(Triple_Standards!$D:$D,MATCH(Triple_Calibrated!A60,Triple_Standards!$D:$D,1)+1)</f>
        <v>8.8611111111094942</v>
      </c>
      <c r="V60" s="11">
        <f>INDEX(Triple_Standards!$E:$E,MATCH(T60,Triple_Standards!$D:$D,0))</f>
        <v>1.0096076740200757</v>
      </c>
      <c r="W60" s="11">
        <f>INDEX(Triple_Standards!$E:$E,MATCH(U60,Triple_Standards!$D:$D,0))</f>
        <v>1.0096831757208606</v>
      </c>
      <c r="X60" s="11" cm="1">
        <f t="array" ref="X60">TREND(V60:W60,T60:U60,A58,)</f>
        <v>1.0096396170473305</v>
      </c>
      <c r="Y60" s="11">
        <f>INDEX(Triple_Standards!$F:$F,MATCH(T60,Triple_Standards!$D:$D,0))</f>
        <v>1.0049740401440694</v>
      </c>
      <c r="Z60" s="11">
        <f>INDEX(Triple_Standards!$F:$F,MATCH(U60,Triple_Standards!$D:$D,0))</f>
        <v>1.0050827906687438</v>
      </c>
      <c r="AA60" s="11" cm="1">
        <f t="array" ref="AA60">TREND(Y60:Z60,T60:U60,A58,TRUE)</f>
        <v>1.0050200499814312</v>
      </c>
    </row>
    <row r="61" spans="1:27" s="315" customFormat="1" ht="17" thickBot="1" x14ac:dyDescent="0.25">
      <c r="A61" s="305">
        <f t="shared" si="19"/>
        <v>8.9131944444444446</v>
      </c>
      <c r="B61" s="306" t="s">
        <v>317</v>
      </c>
      <c r="C61" s="307">
        <v>45242</v>
      </c>
      <c r="D61" s="306" t="s">
        <v>53</v>
      </c>
      <c r="E61" s="308">
        <v>2.0910000000000002</v>
      </c>
      <c r="F61" s="306">
        <v>765</v>
      </c>
      <c r="G61" s="309">
        <v>0.91319444444444453</v>
      </c>
      <c r="H61" s="310"/>
      <c r="I61" s="310"/>
      <c r="J61" s="310">
        <v>452.63</v>
      </c>
      <c r="K61" s="310">
        <v>456.42</v>
      </c>
      <c r="L61" s="310">
        <f t="shared" si="20"/>
        <v>-3.7900000000000205</v>
      </c>
      <c r="M61" s="311">
        <v>35.195799999999998</v>
      </c>
      <c r="N61" s="311">
        <v>18.286999999999999</v>
      </c>
      <c r="O61" s="312">
        <f t="shared" si="14"/>
        <v>25.195526141639448</v>
      </c>
      <c r="P61" s="312">
        <f t="shared" si="15"/>
        <v>13.077898511059402</v>
      </c>
      <c r="Q61" s="398">
        <f t="shared" si="16"/>
        <v>12.993121136300369</v>
      </c>
      <c r="R61" s="399">
        <f t="shared" si="17"/>
        <v>24.883351609883661</v>
      </c>
      <c r="S61" s="400">
        <f t="shared" si="18"/>
        <v>-0.14528851371820473</v>
      </c>
      <c r="T61" s="313">
        <f>INDEX(Triple_Standards!$D:$D,MATCH(Triple_Calibrated!A61,Triple_Standards!$D:$D,1))</f>
        <v>8.8611111111094942</v>
      </c>
      <c r="U61" s="313" cm="1">
        <f t="array" ref="U61">INDEX(Triple_Standards!$D:$D,MATCH(Triple_Calibrated!A61,Triple_Standards!$D:$D,1)+1)</f>
        <v>9.1354166666642413</v>
      </c>
      <c r="V61" s="314">
        <f>INDEX(Triple_Standards!$E:$E,MATCH(T61,Triple_Standards!$D:$D,0))</f>
        <v>1.0096831757208606</v>
      </c>
      <c r="W61" s="314">
        <f>INDEX(Triple_Standards!$E:$E,MATCH(U61,Triple_Standards!$D:$D,0))</f>
        <v>1.0094953445913657</v>
      </c>
      <c r="X61" s="314" cm="1">
        <f t="array" ref="X61">TREND(V61:W61,T61:U61,A59,)</f>
        <v>1.009754503997883</v>
      </c>
      <c r="Y61" s="314">
        <f>INDEX(Triple_Standards!$F:$F,MATCH(T61,Triple_Standards!$D:$D,0))</f>
        <v>1.0050827906687438</v>
      </c>
      <c r="Z61" s="314">
        <f>INDEX(Triple_Standards!$F:$F,MATCH(U61,Triple_Standards!$D:$D,0))</f>
        <v>1.0049272498368045</v>
      </c>
      <c r="AA61" s="314" cm="1">
        <f t="array" ref="AA61">TREND(Y61:Z61,T61:U61,A59,TRUE)</f>
        <v>1.0051418568074544</v>
      </c>
    </row>
    <row r="62" spans="1:27" hidden="1" x14ac:dyDescent="0.2">
      <c r="A62" s="142">
        <f t="shared" si="19"/>
        <v>8.96875</v>
      </c>
      <c r="B62" s="100" t="s">
        <v>318</v>
      </c>
      <c r="C62" s="129">
        <v>45242</v>
      </c>
      <c r="D62" s="100" t="s">
        <v>96</v>
      </c>
      <c r="E62" s="107">
        <v>1.0549999999999999</v>
      </c>
      <c r="F62" s="100">
        <v>493</v>
      </c>
      <c r="G62" s="108">
        <v>0.96875</v>
      </c>
      <c r="H62" s="103"/>
      <c r="I62" s="103"/>
      <c r="J62" s="103">
        <v>451.59</v>
      </c>
      <c r="K62" s="103">
        <v>455.96</v>
      </c>
      <c r="L62" s="103">
        <f t="shared" si="20"/>
        <v>-4.3700000000000045</v>
      </c>
      <c r="M62" s="104">
        <v>31.476199999999999</v>
      </c>
      <c r="N62" s="104">
        <v>16.291599999999999</v>
      </c>
      <c r="O62" s="35">
        <f t="shared" si="14"/>
        <v>21.547939170530867</v>
      </c>
      <c r="P62" s="35">
        <f t="shared" si="15"/>
        <v>11.122414876304106</v>
      </c>
      <c r="Q62" s="36">
        <f t="shared" si="16"/>
        <v>11.061015672087313</v>
      </c>
      <c r="R62" s="37">
        <f t="shared" si="17"/>
        <v>21.319064346190032</v>
      </c>
      <c r="S62" s="135">
        <f t="shared" si="18"/>
        <v>-0.19545030270102437</v>
      </c>
      <c r="T62" s="10">
        <f>INDEX(Triple_Standards!$D:$D,MATCH(Triple_Calibrated!A62,Triple_Standards!$D:$D,1))</f>
        <v>8.8611111111094942</v>
      </c>
      <c r="U62" s="10" cm="1">
        <f t="array" ref="U62">INDEX(Triple_Standards!$D:$D,MATCH(Triple_Calibrated!A62,Triple_Standards!$D:$D,1)+1)</f>
        <v>9.1354166666642413</v>
      </c>
      <c r="V62" s="11">
        <f>INDEX(Triple_Standards!$E:$E,MATCH(T62,Triple_Standards!$D:$D,0))</f>
        <v>1.0096831757208606</v>
      </c>
      <c r="W62" s="11">
        <f>INDEX(Triple_Standards!$E:$E,MATCH(U62,Triple_Standards!$D:$D,0))</f>
        <v>1.0094953445913657</v>
      </c>
      <c r="X62" s="11" cm="1">
        <f t="array" ref="X62">TREND(V62:W62,T62:U62,A60,)</f>
        <v>1.0097188398593713</v>
      </c>
      <c r="Y62" s="11">
        <f>INDEX(Triple_Standards!$F:$F,MATCH(T62,Triple_Standards!$D:$D,0))</f>
        <v>1.0050827906687438</v>
      </c>
      <c r="Z62" s="11">
        <f>INDEX(Triple_Standards!$F:$F,MATCH(U62,Triple_Standards!$D:$D,0))</f>
        <v>1.0049272498368045</v>
      </c>
      <c r="AA62" s="11" cm="1">
        <f t="array" ref="AA62">TREND(Y62:Z62,T62:U62,A60,TRUE)</f>
        <v>1.0051123237380988</v>
      </c>
    </row>
    <row r="63" spans="1:27" s="198" customFormat="1" ht="17" thickBot="1" x14ac:dyDescent="0.25">
      <c r="A63" s="188">
        <f t="shared" si="19"/>
        <v>9.0208333333333339</v>
      </c>
      <c r="B63" s="199" t="s">
        <v>319</v>
      </c>
      <c r="C63" s="200">
        <v>45243</v>
      </c>
      <c r="D63" s="199" t="s">
        <v>96</v>
      </c>
      <c r="E63" s="201">
        <v>1.04</v>
      </c>
      <c r="F63" s="199">
        <v>545</v>
      </c>
      <c r="G63" s="202">
        <v>2.0833333333333332E-2</v>
      </c>
      <c r="H63" s="203"/>
      <c r="I63" s="203"/>
      <c r="J63" s="203">
        <v>452.75</v>
      </c>
      <c r="K63" s="203">
        <v>456.21</v>
      </c>
      <c r="L63" s="203">
        <f t="shared" si="20"/>
        <v>-3.4599999999999795</v>
      </c>
      <c r="M63" s="204">
        <v>34.714100000000002</v>
      </c>
      <c r="N63" s="204">
        <v>18.0321</v>
      </c>
      <c r="O63" s="195">
        <f t="shared" si="14"/>
        <v>24.827068982091987</v>
      </c>
      <c r="P63" s="195">
        <f t="shared" si="15"/>
        <v>12.913586720382568</v>
      </c>
      <c r="Q63" s="356">
        <f t="shared" si="16"/>
        <v>12.830917304512647</v>
      </c>
      <c r="R63" s="357">
        <f t="shared" si="17"/>
        <v>24.52388516849765</v>
      </c>
      <c r="S63" s="358">
        <f t="shared" si="18"/>
        <v>-0.11769406445411157</v>
      </c>
      <c r="T63" s="196">
        <f>INDEX(Triple_Standards!$D:$D,MATCH(Triple_Calibrated!A63,Triple_Standards!$D:$D,1))</f>
        <v>8.8611111111094942</v>
      </c>
      <c r="U63" s="196" cm="1">
        <f t="array" ref="U63">INDEX(Triple_Standards!$D:$D,MATCH(Triple_Calibrated!A63,Triple_Standards!$D:$D,1)+1)</f>
        <v>9.1354166666642413</v>
      </c>
      <c r="V63" s="197">
        <f>INDEX(Triple_Standards!$E:$E,MATCH(T63,Triple_Standards!$D:$D,0))</f>
        <v>1.0096831757208606</v>
      </c>
      <c r="W63" s="197">
        <f>INDEX(Triple_Standards!$E:$E,MATCH(U63,Triple_Standards!$D:$D,0))</f>
        <v>1.0094953445913657</v>
      </c>
      <c r="X63" s="197" cm="1">
        <f t="array" ref="X63">TREND(V63:W63,T63:U63,A61,)</f>
        <v>1.0096475115823476</v>
      </c>
      <c r="Y63" s="197">
        <f>INDEX(Triple_Standards!$F:$F,MATCH(T63,Triple_Standards!$D:$D,0))</f>
        <v>1.0050827906687438</v>
      </c>
      <c r="Z63" s="197">
        <f>INDEX(Triple_Standards!$F:$F,MATCH(U63,Triple_Standards!$D:$D,0))</f>
        <v>1.0049272498368045</v>
      </c>
      <c r="AA63" s="197" cm="1">
        <f t="array" ref="AA63">TREND(Y63:Z63,T63:U63,A61,TRUE)</f>
        <v>1.0050532575993874</v>
      </c>
    </row>
    <row r="64" spans="1:27" hidden="1" x14ac:dyDescent="0.2">
      <c r="A64" s="142">
        <f t="shared" si="19"/>
        <v>9.0833333333333339</v>
      </c>
      <c r="B64" s="100" t="s">
        <v>320</v>
      </c>
      <c r="C64" s="129">
        <v>45243</v>
      </c>
      <c r="D64" s="100" t="s">
        <v>321</v>
      </c>
      <c r="E64" s="107">
        <v>1.3049999999999999</v>
      </c>
      <c r="F64" s="100">
        <v>486</v>
      </c>
      <c r="G64" s="108">
        <v>8.3333333333333329E-2</v>
      </c>
      <c r="H64" s="103"/>
      <c r="I64" s="103"/>
      <c r="J64" s="103">
        <v>451.2</v>
      </c>
      <c r="K64" s="103">
        <v>456.12</v>
      </c>
      <c r="L64" s="103">
        <f t="shared" si="20"/>
        <v>-4.9200000000000159</v>
      </c>
      <c r="M64" s="104">
        <v>31.1646</v>
      </c>
      <c r="N64" s="104">
        <v>16.187200000000001</v>
      </c>
      <c r="O64" s="35">
        <f t="shared" si="14"/>
        <v>21.349968289154049</v>
      </c>
      <c r="P64" s="35">
        <f t="shared" si="15"/>
        <v>11.109654371551642</v>
      </c>
      <c r="Q64" s="36">
        <f t="shared" si="16"/>
        <v>11.048395454114683</v>
      </c>
      <c r="R64" s="37">
        <f t="shared" si="17"/>
        <v>21.125250566976039</v>
      </c>
      <c r="S64" s="135">
        <f t="shared" si="18"/>
        <v>-0.105736845248666</v>
      </c>
      <c r="T64" s="10">
        <f>INDEX(Triple_Standards!$D:$D,MATCH(Triple_Calibrated!A64,Triple_Standards!$D:$D,1))</f>
        <v>8.8611111111094942</v>
      </c>
      <c r="U64" s="10" cm="1">
        <f t="array" ref="U64">INDEX(Triple_Standards!$D:$D,MATCH(Triple_Calibrated!A64,Triple_Standards!$D:$D,1)+1)</f>
        <v>9.1354166666642413</v>
      </c>
      <c r="V64" s="11">
        <f>INDEX(Triple_Standards!$E:$E,MATCH(T64,Triple_Standards!$D:$D,0))</f>
        <v>1.0096831757208606</v>
      </c>
      <c r="W64" s="11">
        <f>INDEX(Triple_Standards!$E:$E,MATCH(U64,Triple_Standards!$D:$D,0))</f>
        <v>1.0094953445913657</v>
      </c>
      <c r="X64" s="11" cm="1">
        <f t="array" ref="X64">TREND(V64:W64,T64:U64,A62,)</f>
        <v>1.0096094698346016</v>
      </c>
      <c r="Y64" s="11">
        <f>INDEX(Triple_Standards!$F:$F,MATCH(T64,Triple_Standards!$D:$D,0))</f>
        <v>1.0050827906687438</v>
      </c>
      <c r="Z64" s="11">
        <f>INDEX(Triple_Standards!$F:$F,MATCH(U64,Triple_Standards!$D:$D,0))</f>
        <v>1.0049272498368045</v>
      </c>
      <c r="AA64" s="11" cm="1">
        <f t="array" ref="AA64">TREND(Y64:Z64,T64:U64,A62,TRUE)</f>
        <v>1.0050217556587413</v>
      </c>
    </row>
    <row r="65" spans="1:27" s="304" customFormat="1" ht="17" thickBot="1" x14ac:dyDescent="0.25">
      <c r="A65" s="294">
        <f t="shared" si="19"/>
        <v>9.1875</v>
      </c>
      <c r="B65" s="295" t="s">
        <v>322</v>
      </c>
      <c r="C65" s="296">
        <v>45243</v>
      </c>
      <c r="D65" s="295" t="s">
        <v>41</v>
      </c>
      <c r="E65" s="297">
        <v>1.2729999999999999</v>
      </c>
      <c r="F65" s="295">
        <v>651</v>
      </c>
      <c r="G65" s="298">
        <v>0.1875</v>
      </c>
      <c r="H65" s="299"/>
      <c r="I65" s="299"/>
      <c r="J65" s="299">
        <v>453.53</v>
      </c>
      <c r="K65" s="299">
        <v>456.17</v>
      </c>
      <c r="L65" s="299">
        <f t="shared" si="20"/>
        <v>-2.6400000000000432</v>
      </c>
      <c r="M65" s="300">
        <v>34.768999999999998</v>
      </c>
      <c r="N65" s="300">
        <v>18.007899999999999</v>
      </c>
      <c r="O65" s="301">
        <f t="shared" si="14"/>
        <v>24.926524612676758</v>
      </c>
      <c r="P65" s="301">
        <f t="shared" si="15"/>
        <v>12.97011468765163</v>
      </c>
      <c r="Q65" s="401">
        <f t="shared" si="16"/>
        <v>12.886723042269686</v>
      </c>
      <c r="R65" s="402">
        <f t="shared" si="17"/>
        <v>24.620926716295124</v>
      </c>
      <c r="S65" s="403">
        <f t="shared" si="18"/>
        <v>-0.11312626393413971</v>
      </c>
      <c r="T65" s="302">
        <f>INDEX(Triple_Standards!$D:$D,MATCH(Triple_Calibrated!A65,Triple_Standards!$D:$D,1))</f>
        <v>9.1354166666642413</v>
      </c>
      <c r="U65" s="302" cm="1">
        <f t="array" ref="U65">INDEX(Triple_Standards!$D:$D,MATCH(Triple_Calibrated!A65,Triple_Standards!$D:$D,1)+1)</f>
        <v>9.4166666666642413</v>
      </c>
      <c r="V65" s="303">
        <f>INDEX(Triple_Standards!$E:$E,MATCH(T65,Triple_Standards!$D:$D,0))</f>
        <v>1.0094953445913657</v>
      </c>
      <c r="W65" s="303">
        <f>INDEX(Triple_Standards!$E:$E,MATCH(U65,Triple_Standards!$D:$D,0))</f>
        <v>1.0092308457116523</v>
      </c>
      <c r="X65" s="303" cm="1">
        <f t="array" ref="X65">TREND(V65:W65,T65:U65,A63,)</f>
        <v>1.0096031033942094</v>
      </c>
      <c r="Y65" s="303">
        <f>INDEX(Triple_Standards!$F:$F,MATCH(T65,Triple_Standards!$D:$D,0))</f>
        <v>1.0049272498368045</v>
      </c>
      <c r="Z65" s="303">
        <f>INDEX(Triple_Standards!$F:$F,MATCH(U65,Triple_Standards!$D:$D,0))</f>
        <v>1.0048142635579986</v>
      </c>
      <c r="AA65" s="303" cm="1">
        <f t="array" ref="AA65">TREND(Y65:Z65,T65:U65,A63,TRUE)</f>
        <v>1.0049732812837244</v>
      </c>
    </row>
    <row r="66" spans="1:27" hidden="1" x14ac:dyDescent="0.2">
      <c r="A66" s="142">
        <f t="shared" si="19"/>
        <v>9.2395833333333339</v>
      </c>
      <c r="B66" s="100" t="s">
        <v>323</v>
      </c>
      <c r="C66" s="129">
        <v>45243</v>
      </c>
      <c r="D66" s="100" t="s">
        <v>41</v>
      </c>
      <c r="E66" s="107">
        <v>1.617</v>
      </c>
      <c r="F66" s="100">
        <v>763</v>
      </c>
      <c r="G66" s="108">
        <v>0.23958333333333334</v>
      </c>
      <c r="H66" s="103"/>
      <c r="I66" s="103"/>
      <c r="J66" s="103">
        <v>453.93</v>
      </c>
      <c r="K66" s="103">
        <v>456.01</v>
      </c>
      <c r="L66" s="103">
        <f t="shared" si="20"/>
        <v>-2.0799999999999841</v>
      </c>
      <c r="M66" s="104">
        <v>32.141500000000001</v>
      </c>
      <c r="N66" s="104">
        <v>16.670100000000001</v>
      </c>
      <c r="O66" s="35">
        <f t="shared" si="14"/>
        <v>22.38353835057751</v>
      </c>
      <c r="P66" s="35">
        <f t="shared" si="15"/>
        <v>11.664210245442973</v>
      </c>
      <c r="Q66" s="36">
        <f t="shared" si="16"/>
        <v>11.596707746937465</v>
      </c>
      <c r="R66" s="37">
        <f t="shared" si="17"/>
        <v>22.136703524204183</v>
      </c>
      <c r="S66" s="135">
        <f t="shared" si="18"/>
        <v>-9.147171384234376E-2</v>
      </c>
      <c r="T66" s="10">
        <f>INDEX(Triple_Standards!$D:$D,MATCH(Triple_Calibrated!A66,Triple_Standards!$D:$D,1))</f>
        <v>9.1354166666642413</v>
      </c>
      <c r="U66" s="10" cm="1">
        <f t="array" ref="U66">INDEX(Triple_Standards!$D:$D,MATCH(Triple_Calibrated!A66,Triple_Standards!$D:$D,1)+1)</f>
        <v>9.4166666666642413</v>
      </c>
      <c r="V66" s="11">
        <f>INDEX(Triple_Standards!$E:$E,MATCH(T66,Triple_Standards!$D:$D,0))</f>
        <v>1.0094953445913657</v>
      </c>
      <c r="W66" s="11">
        <f>INDEX(Triple_Standards!$E:$E,MATCH(U66,Triple_Standards!$D:$D,0))</f>
        <v>1.0092308457116523</v>
      </c>
      <c r="X66" s="11" cm="1">
        <f t="array" ref="X66">TREND(V66:W66,T66:U66,A64,)</f>
        <v>1.0095443258653842</v>
      </c>
      <c r="Y66" s="11">
        <f>INDEX(Triple_Standards!$F:$F,MATCH(T66,Triple_Standards!$D:$D,0))</f>
        <v>1.0049272498368045</v>
      </c>
      <c r="Z66" s="11">
        <f>INDEX(Triple_Standards!$F:$F,MATCH(U66,Triple_Standards!$D:$D,0))</f>
        <v>1.0048142635579986</v>
      </c>
      <c r="AA66" s="11" cm="1">
        <f t="array" ref="AA66">TREND(Y66:Z66,T66:U66,A64,TRUE)</f>
        <v>1.0049481732217675</v>
      </c>
    </row>
    <row r="67" spans="1:27" ht="17" thickBot="1" x14ac:dyDescent="0.25">
      <c r="A67" s="142">
        <f t="shared" si="19"/>
        <v>9.2916666666666661</v>
      </c>
      <c r="B67" s="119" t="s">
        <v>324</v>
      </c>
      <c r="C67" s="154">
        <v>45243</v>
      </c>
      <c r="D67" s="119" t="s">
        <v>44</v>
      </c>
      <c r="E67" s="120">
        <v>1.25</v>
      </c>
      <c r="F67" s="119">
        <v>465</v>
      </c>
      <c r="G67" s="130">
        <v>0.29166666666666669</v>
      </c>
      <c r="H67" s="121">
        <v>12.5</v>
      </c>
      <c r="I67" s="121"/>
      <c r="J67" s="121">
        <v>449.38</v>
      </c>
      <c r="K67" s="121">
        <v>456.12</v>
      </c>
      <c r="L67" s="121">
        <f t="shared" si="20"/>
        <v>-6.7400000000000091</v>
      </c>
      <c r="M67" s="122">
        <v>33.987499999999997</v>
      </c>
      <c r="N67" s="122">
        <v>17.672699999999999</v>
      </c>
      <c r="O67" s="35">
        <f t="shared" si="14"/>
        <v>24.311481594731049</v>
      </c>
      <c r="P67" s="35">
        <f t="shared" si="15"/>
        <v>12.704043364157656</v>
      </c>
      <c r="Q67" s="395">
        <f t="shared" si="16"/>
        <v>12.624024005540186</v>
      </c>
      <c r="R67" s="396">
        <f t="shared" si="17"/>
        <v>24.020661608435073</v>
      </c>
      <c r="S67" s="397">
        <f t="shared" si="18"/>
        <v>-5.8885323713534277E-2</v>
      </c>
      <c r="T67" s="10">
        <f>INDEX(Triple_Standards!$D:$D,MATCH(Triple_Calibrated!A67,Triple_Standards!$D:$D,1))</f>
        <v>9.1354166666642413</v>
      </c>
      <c r="U67" s="10" cm="1">
        <f t="array" ref="U67">INDEX(Triple_Standards!$D:$D,MATCH(Triple_Calibrated!A67,Triple_Standards!$D:$D,1)+1)</f>
        <v>9.4166666666642413</v>
      </c>
      <c r="V67" s="11">
        <f>INDEX(Triple_Standards!$E:$E,MATCH(T67,Triple_Standards!$D:$D,0))</f>
        <v>1.0094953445913657</v>
      </c>
      <c r="W67" s="11">
        <f>INDEX(Triple_Standards!$E:$E,MATCH(U67,Triple_Standards!$D:$D,0))</f>
        <v>1.0092308457116523</v>
      </c>
      <c r="X67" s="11" cm="1">
        <f t="array" ref="X67">TREND(V67:W67,T67:U67,A65,)</f>
        <v>1.0094463633173423</v>
      </c>
      <c r="Y67" s="11">
        <f>INDEX(Triple_Standards!$F:$F,MATCH(T67,Triple_Standards!$D:$D,0))</f>
        <v>1.0049272498368045</v>
      </c>
      <c r="Z67" s="11">
        <f>INDEX(Triple_Standards!$F:$F,MATCH(U67,Triple_Standards!$D:$D,0))</f>
        <v>1.0048142635579986</v>
      </c>
      <c r="AA67" s="11" cm="1">
        <f t="array" ref="AA67">TREND(Y67:Z67,T67:U67,A65,TRUE)</f>
        <v>1.0049063264518394</v>
      </c>
    </row>
    <row r="68" spans="1:27" hidden="1" x14ac:dyDescent="0.2">
      <c r="A68" s="142">
        <f>C68-$A$1+G68</f>
        <v>9.3472222222222214</v>
      </c>
      <c r="B68" s="100" t="s">
        <v>325</v>
      </c>
      <c r="C68" s="129">
        <v>45243</v>
      </c>
      <c r="D68" s="100" t="s">
        <v>44</v>
      </c>
      <c r="E68" s="107">
        <v>1.482</v>
      </c>
      <c r="F68" s="100">
        <v>577</v>
      </c>
      <c r="G68" s="108">
        <v>0.34722222222222227</v>
      </c>
      <c r="H68" s="103"/>
      <c r="I68" s="103"/>
      <c r="J68" s="103">
        <v>453.41</v>
      </c>
      <c r="K68" s="103">
        <v>456.21</v>
      </c>
      <c r="L68" s="103">
        <f t="shared" si="20"/>
        <v>-2.7999999999999545</v>
      </c>
      <c r="M68" s="104">
        <v>31.7576</v>
      </c>
      <c r="N68" s="104">
        <v>16.511099999999999</v>
      </c>
      <c r="O68" s="35">
        <f t="shared" si="14"/>
        <v>22.152046710696709</v>
      </c>
      <c r="P68" s="35">
        <f t="shared" si="15"/>
        <v>11.56917684110374</v>
      </c>
      <c r="Q68" s="36">
        <f t="shared" si="16"/>
        <v>11.502765639204664</v>
      </c>
      <c r="R68" s="37">
        <f t="shared" si="17"/>
        <v>21.910254405332072</v>
      </c>
      <c r="S68" s="135">
        <f t="shared" si="18"/>
        <v>-6.5848686810669577E-2</v>
      </c>
      <c r="T68" s="10">
        <f>INDEX(Triple_Standards!$D:$D,MATCH(Triple_Calibrated!A68,Triple_Standards!$D:$D,1))</f>
        <v>9.1354166666642413</v>
      </c>
      <c r="U68" s="10" cm="1">
        <f t="array" ref="U68">INDEX(Triple_Standards!$D:$D,MATCH(Triple_Calibrated!A68,Triple_Standards!$D:$D,1)+1)</f>
        <v>9.4166666666642413</v>
      </c>
      <c r="V68" s="11">
        <f>INDEX(Triple_Standards!$E:$E,MATCH(T68,Triple_Standards!$D:$D,0))</f>
        <v>1.0094953445913657</v>
      </c>
      <c r="W68" s="11">
        <f>INDEX(Triple_Standards!$E:$E,MATCH(U68,Triple_Standards!$D:$D,0))</f>
        <v>1.0092308457116523</v>
      </c>
      <c r="X68" s="11" cm="1">
        <f t="array" ref="X68">TREND(V68:W68,T68:U68,A66,)</f>
        <v>1.0093973820433213</v>
      </c>
      <c r="Y68" s="11">
        <f>INDEX(Triple_Standards!$F:$F,MATCH(T68,Triple_Standards!$D:$D,0))</f>
        <v>1.0049272498368045</v>
      </c>
      <c r="Z68" s="11">
        <f>INDEX(Triple_Standards!$F:$F,MATCH(U68,Triple_Standards!$D:$D,0))</f>
        <v>1.0048142635579986</v>
      </c>
      <c r="AA68" s="11" cm="1">
        <f t="array" ref="AA68">TREND(Y68:Z68,T68:U68,A66,TRUE)</f>
        <v>1.0048854030668755</v>
      </c>
    </row>
    <row r="69" spans="1:27" s="187" customFormat="1" ht="17" thickBot="1" x14ac:dyDescent="0.25">
      <c r="A69" s="177">
        <f t="shared" ref="A69:A90" si="21">C69-$A$1+G69</f>
        <v>9.46875</v>
      </c>
      <c r="B69" s="94" t="s">
        <v>326</v>
      </c>
      <c r="C69" s="116">
        <v>45243</v>
      </c>
      <c r="D69" s="94" t="s">
        <v>44</v>
      </c>
      <c r="E69" s="117">
        <v>1.093</v>
      </c>
      <c r="F69" s="94"/>
      <c r="G69" s="127">
        <v>0.46875</v>
      </c>
      <c r="H69" s="96"/>
      <c r="I69" s="96"/>
      <c r="J69" s="96">
        <v>454.77</v>
      </c>
      <c r="K69" s="96">
        <v>456.82</v>
      </c>
      <c r="L69" s="96">
        <f t="shared" si="20"/>
        <v>-2.0500000000000114</v>
      </c>
      <c r="M69" s="97">
        <v>34.726900000000001</v>
      </c>
      <c r="N69" s="97">
        <v>17.9999</v>
      </c>
      <c r="O69" s="184">
        <f t="shared" ref="O69:O70" si="22">((1000+M69)/X69)-1000</f>
        <v>25.426565436329156</v>
      </c>
      <c r="P69" s="184">
        <f t="shared" ref="P69:P70" si="23">((1000+N69)/AA69)-1000</f>
        <v>13.168306985352729</v>
      </c>
      <c r="Q69" s="353">
        <f t="shared" ref="Q69:Q70" si="24">1000*(LN(P69/1000+1))</f>
        <v>13.08235853904854</v>
      </c>
      <c r="R69" s="354">
        <f t="shared" ref="R69:R70" si="25">1000*(LN(O69/1000+1))</f>
        <v>25.108687420529922</v>
      </c>
      <c r="S69" s="355">
        <f t="shared" ref="S69:S70" si="26">Q69-0.528*R69</f>
        <v>-0.17502841899125876</v>
      </c>
      <c r="T69" s="185">
        <f>INDEX(Triple_Standards!$D:$D,MATCH(Triple_Calibrated!A69,Triple_Standards!$D:$D,1))</f>
        <v>9.4166666666642413</v>
      </c>
      <c r="U69" s="185" cm="1">
        <f t="array" ref="U69">INDEX(Triple_Standards!$D:$D,MATCH(Triple_Calibrated!A69,Triple_Standards!$D:$D,1)+1)</f>
        <v>9.7083333333357587</v>
      </c>
      <c r="V69" s="186">
        <f>INDEX(Triple_Standards!$E:$E,MATCH(T69,Triple_Standards!$D:$D,0))</f>
        <v>1.0092308457116523</v>
      </c>
      <c r="W69" s="186">
        <f>INDEX(Triple_Standards!$E:$E,MATCH(U69,Triple_Standards!$D:$D,0))</f>
        <v>1.0096067994830009</v>
      </c>
      <c r="X69" s="186" cm="1">
        <f t="array" ref="X69">TREND(V69:W69,T69:U69,A67,)</f>
        <v>1.0090697226667944</v>
      </c>
      <c r="Y69" s="186">
        <f>INDEX(Triple_Standards!$F:$F,MATCH(T69,Triple_Standards!$D:$D,0))</f>
        <v>1.0048142635579986</v>
      </c>
      <c r="Z69" s="186">
        <f>INDEX(Triple_Standards!$F:$F,MATCH(U69,Triple_Standards!$D:$D,0))</f>
        <v>1.0049203544231022</v>
      </c>
      <c r="AA69" s="186" cm="1">
        <f t="array" ref="AA69">TREND(Y69:Z69,T69:U69,A67,TRUE)</f>
        <v>1.0047687960443843</v>
      </c>
    </row>
    <row r="70" spans="1:27" hidden="1" x14ac:dyDescent="0.2">
      <c r="A70" s="142">
        <f t="shared" si="21"/>
        <v>9.5555555555555554</v>
      </c>
      <c r="B70" s="100" t="s">
        <v>327</v>
      </c>
      <c r="C70" s="129">
        <v>45243</v>
      </c>
      <c r="D70" s="100" t="s">
        <v>328</v>
      </c>
      <c r="E70" s="107">
        <v>1.087</v>
      </c>
      <c r="F70" s="100" t="s">
        <v>329</v>
      </c>
      <c r="G70" s="108">
        <v>0.55555555555555558</v>
      </c>
      <c r="H70" s="103"/>
      <c r="I70" s="103"/>
      <c r="J70" s="103">
        <v>453.25</v>
      </c>
      <c r="K70" s="103">
        <v>456.9</v>
      </c>
      <c r="L70" s="103">
        <f t="shared" si="20"/>
        <v>-3.6499999999999773</v>
      </c>
      <c r="M70" s="104">
        <v>30.194700000000001</v>
      </c>
      <c r="N70" s="104">
        <v>15.712899999999999</v>
      </c>
      <c r="O70" s="35">
        <f t="shared" si="22"/>
        <v>20.862654619800992</v>
      </c>
      <c r="P70" s="35">
        <f t="shared" si="23"/>
        <v>10.871830931834552</v>
      </c>
      <c r="Q70" s="36">
        <f t="shared" si="24"/>
        <v>10.813157453626129</v>
      </c>
      <c r="R70" s="37">
        <f t="shared" si="25"/>
        <v>20.648009683107549</v>
      </c>
      <c r="S70" s="135">
        <f t="shared" si="26"/>
        <v>-8.8991659054658001E-2</v>
      </c>
      <c r="T70" s="10">
        <f>INDEX(Triple_Standards!$D:$D,MATCH(Triple_Calibrated!A70,Triple_Standards!$D:$D,1))</f>
        <v>9.4166666666642413</v>
      </c>
      <c r="U70" s="10" cm="1">
        <f t="array" ref="U70">INDEX(Triple_Standards!$D:$D,MATCH(Triple_Calibrated!A70,Triple_Standards!$D:$D,1)+1)</f>
        <v>9.7083333333357587</v>
      </c>
      <c r="V70" s="11">
        <f>INDEX(Triple_Standards!$E:$E,MATCH(T70,Triple_Standards!$D:$D,0))</f>
        <v>1.0092308457116523</v>
      </c>
      <c r="W70" s="11">
        <f>INDEX(Triple_Standards!$E:$E,MATCH(U70,Triple_Standards!$D:$D,0))</f>
        <v>1.0096067994830009</v>
      </c>
      <c r="X70" s="11" cm="1">
        <f t="array" ref="X70">TREND(V70:W70,T70:U70,A68,)</f>
        <v>1.0091413329089549</v>
      </c>
      <c r="Y70" s="11">
        <f>INDEX(Triple_Standards!$F:$F,MATCH(T70,Triple_Standards!$D:$D,0))</f>
        <v>1.0048142635579986</v>
      </c>
      <c r="Z70" s="11">
        <f>INDEX(Triple_Standards!$F:$F,MATCH(U70,Triple_Standards!$D:$D,0))</f>
        <v>1.0049203544231022</v>
      </c>
      <c r="AA70" s="11" cm="1">
        <f t="array" ref="AA70">TREND(Y70:Z70,T70:U70,A68,TRUE)</f>
        <v>1.0047890038282132</v>
      </c>
    </row>
    <row r="71" spans="1:27" hidden="1" x14ac:dyDescent="0.2">
      <c r="A71" s="142">
        <f t="shared" si="21"/>
        <v>9.7916666666666661</v>
      </c>
      <c r="B71" s="100" t="s">
        <v>334</v>
      </c>
      <c r="C71" s="129">
        <v>45243</v>
      </c>
      <c r="D71" s="100" t="s">
        <v>96</v>
      </c>
      <c r="E71" s="107">
        <v>2.169</v>
      </c>
      <c r="F71" s="100">
        <v>585</v>
      </c>
      <c r="G71" s="108">
        <v>0.79166666666666663</v>
      </c>
      <c r="H71" s="103"/>
      <c r="I71" s="103"/>
      <c r="J71" s="103">
        <v>455.29</v>
      </c>
      <c r="K71" s="103">
        <v>456.81</v>
      </c>
      <c r="L71" s="103">
        <f t="shared" si="20"/>
        <v>-1.5199999999999818</v>
      </c>
      <c r="M71" s="104">
        <v>30.4666</v>
      </c>
      <c r="N71" s="104">
        <v>15.745900000000001</v>
      </c>
      <c r="O71" s="35">
        <f t="shared" ref="O71:O74" si="27">((1000+M71)/X71)-1000</f>
        <v>20.640502953093005</v>
      </c>
      <c r="P71" s="35">
        <f t="shared" ref="P71:P74" si="28">((1000+N71)/AA71)-1000</f>
        <v>10.807573295150632</v>
      </c>
      <c r="Q71" s="36">
        <f t="shared" ref="Q71:Q74" si="29">1000*(LN(P71/1000+1))</f>
        <v>10.749588881308366</v>
      </c>
      <c r="R71" s="37">
        <f t="shared" ref="R71:R74" si="30">1000*(LN(O71/1000+1))</f>
        <v>20.430374293457703</v>
      </c>
      <c r="S71" s="135">
        <f t="shared" ref="S71:S74" si="31">Q71-0.528*R71</f>
        <v>-3.7648745637302028E-2</v>
      </c>
      <c r="T71" s="10">
        <f>INDEX(Triple_Standards!$D:$D,MATCH(Triple_Calibrated!A71,Triple_Standards!$D:$D,1))</f>
        <v>9.7083333333357587</v>
      </c>
      <c r="U71" s="10" cm="1">
        <f t="array" ref="U71">INDEX(Triple_Standards!$D:$D,MATCH(Triple_Calibrated!A71,Triple_Standards!$D:$D,1)+1)</f>
        <v>10.015972222223354</v>
      </c>
      <c r="V71" s="11">
        <f>INDEX(Triple_Standards!$E:$E,MATCH(T71,Triple_Standards!$D:$D,0))</f>
        <v>1.0096067994830009</v>
      </c>
      <c r="W71" s="11">
        <f>INDEX(Triple_Standards!$E:$E,MATCH(U71,Triple_Standards!$D:$D,0))</f>
        <v>1.0095803690291869</v>
      </c>
      <c r="X71" s="11" cm="1">
        <f t="array" ref="X71">TREND(V71:W71,T71:U71,A69,)</f>
        <v>1.0096273830192672</v>
      </c>
      <c r="Y71" s="11">
        <f>INDEX(Triple_Standards!$F:$F,MATCH(T71,Triple_Standards!$D:$D,0))</f>
        <v>1.0049203544231022</v>
      </c>
      <c r="Z71" s="11">
        <f>INDEX(Triple_Standards!$F:$F,MATCH(U71,Triple_Standards!$D:$D,0))</f>
        <v>1.0049650761062565</v>
      </c>
      <c r="AA71" s="11" cm="1">
        <f t="array" ref="AA71">TREND(Y71:Z71,T71:U71,A69,TRUE)</f>
        <v>1.0048855260242568</v>
      </c>
    </row>
    <row r="72" spans="1:27" hidden="1" x14ac:dyDescent="0.2">
      <c r="A72" s="142">
        <f t="shared" si="21"/>
        <v>9.8645833333333339</v>
      </c>
      <c r="B72" s="100" t="s">
        <v>336</v>
      </c>
      <c r="C72" s="129">
        <v>45243</v>
      </c>
      <c r="D72" s="100" t="s">
        <v>96</v>
      </c>
      <c r="E72" s="107">
        <v>1.643</v>
      </c>
      <c r="F72" s="100">
        <v>577</v>
      </c>
      <c r="G72" s="108">
        <v>0.86458333333333337</v>
      </c>
      <c r="H72" s="103"/>
      <c r="I72" s="103"/>
      <c r="J72" s="103">
        <v>454.43</v>
      </c>
      <c r="K72" s="103">
        <v>456.85</v>
      </c>
      <c r="L72" s="103">
        <f t="shared" si="20"/>
        <v>-2.4200000000000159</v>
      </c>
      <c r="M72" s="104">
        <v>30.877199999999998</v>
      </c>
      <c r="N72" s="104">
        <v>16.0031</v>
      </c>
      <c r="O72" s="35">
        <f t="shared" si="27"/>
        <v>21.054729857053871</v>
      </c>
      <c r="P72" s="35">
        <f t="shared" si="28"/>
        <v>11.050826440276751</v>
      </c>
      <c r="Q72" s="36">
        <f t="shared" si="29"/>
        <v>10.99021220718666</v>
      </c>
      <c r="R72" s="37">
        <f t="shared" si="30"/>
        <v>20.836141915370778</v>
      </c>
      <c r="S72" s="135">
        <f t="shared" si="31"/>
        <v>-1.1270724129110121E-2</v>
      </c>
      <c r="T72" s="10">
        <f>INDEX(Triple_Standards!$D:$D,MATCH(Triple_Calibrated!A72,Triple_Standards!$D:$D,1))</f>
        <v>9.7083333333357587</v>
      </c>
      <c r="U72" s="10" cm="1">
        <f t="array" ref="U72">INDEX(Triple_Standards!$D:$D,MATCH(Triple_Calibrated!A72,Triple_Standards!$D:$D,1)+1)</f>
        <v>10.015972222223354</v>
      </c>
      <c r="V72" s="11">
        <f>INDEX(Triple_Standards!$E:$E,MATCH(T72,Triple_Standards!$D:$D,0))</f>
        <v>1.0096067994830009</v>
      </c>
      <c r="W72" s="11">
        <f>INDEX(Triple_Standards!$E:$E,MATCH(U72,Triple_Standards!$D:$D,0))</f>
        <v>1.0095803690291869</v>
      </c>
      <c r="X72" s="11" cm="1">
        <f t="array" ref="X72">TREND(V72:W72,T72:U72,A70,)</f>
        <v>1.0096199252162723</v>
      </c>
      <c r="Y72" s="11">
        <f>INDEX(Triple_Standards!$F:$F,MATCH(T72,Triple_Standards!$D:$D,0))</f>
        <v>1.0049203544231022</v>
      </c>
      <c r="Z72" s="11">
        <f>INDEX(Triple_Standards!$F:$F,MATCH(U72,Triple_Standards!$D:$D,0))</f>
        <v>1.0049650761062565</v>
      </c>
      <c r="AA72" s="11" cm="1">
        <f t="array" ref="AA72">TREND(Y72:Z72,T72:U72,A70,TRUE)</f>
        <v>1.0048981450093457</v>
      </c>
    </row>
    <row r="73" spans="1:27" s="257" customFormat="1" ht="17" thickBot="1" x14ac:dyDescent="0.25">
      <c r="A73" s="246">
        <f t="shared" si="21"/>
        <v>9.9166666666666661</v>
      </c>
      <c r="B73" s="258" t="s">
        <v>337</v>
      </c>
      <c r="C73" s="259">
        <v>45243</v>
      </c>
      <c r="D73" s="258" t="s">
        <v>53</v>
      </c>
      <c r="E73" s="260">
        <v>1.2210000000000001</v>
      </c>
      <c r="F73" s="258">
        <v>620</v>
      </c>
      <c r="G73" s="261">
        <v>0.91666666666666663</v>
      </c>
      <c r="H73" s="262"/>
      <c r="I73" s="262"/>
      <c r="J73" s="262">
        <v>453.58</v>
      </c>
      <c r="K73" s="262">
        <v>456.95</v>
      </c>
      <c r="L73" s="262">
        <f t="shared" si="20"/>
        <v>-3.3700000000000045</v>
      </c>
      <c r="M73" s="263">
        <v>36.099800000000002</v>
      </c>
      <c r="N73" s="263">
        <v>18.720700000000001</v>
      </c>
      <c r="O73" s="254">
        <f t="shared" si="27"/>
        <v>26.24818686353774</v>
      </c>
      <c r="P73" s="254">
        <f t="shared" si="28"/>
        <v>13.720555143125466</v>
      </c>
      <c r="Q73" s="389">
        <f t="shared" si="29"/>
        <v>13.62728054415356</v>
      </c>
      <c r="R73" s="390">
        <f t="shared" si="30"/>
        <v>25.909615023902742</v>
      </c>
      <c r="S73" s="391">
        <f t="shared" si="31"/>
        <v>-5.2996188467087535E-2</v>
      </c>
      <c r="T73" s="255">
        <f>INDEX(Triple_Standards!$D:$D,MATCH(Triple_Calibrated!A73,Triple_Standards!$D:$D,1))</f>
        <v>9.7083333333357587</v>
      </c>
      <c r="U73" s="255" cm="1">
        <f t="array" ref="U73">INDEX(Triple_Standards!$D:$D,MATCH(Triple_Calibrated!A73,Triple_Standards!$D:$D,1)+1)</f>
        <v>10.015972222223354</v>
      </c>
      <c r="V73" s="256">
        <f>INDEX(Triple_Standards!$E:$E,MATCH(T73,Triple_Standards!$D:$D,0))</f>
        <v>1.0096067994830009</v>
      </c>
      <c r="W73" s="256">
        <f>INDEX(Triple_Standards!$E:$E,MATCH(U73,Triple_Standards!$D:$D,0))</f>
        <v>1.0095803690291869</v>
      </c>
      <c r="X73" s="256" cm="1">
        <f t="array" ref="X73">TREND(V73:W73,T73:U73,A71,)</f>
        <v>1.0095996399921261</v>
      </c>
      <c r="Y73" s="256">
        <f>INDEX(Triple_Standards!$F:$F,MATCH(T73,Triple_Standards!$D:$D,0))</f>
        <v>1.0049203544231022</v>
      </c>
      <c r="Z73" s="256">
        <f>INDEX(Triple_Standards!$F:$F,MATCH(U73,Triple_Standards!$D:$D,0))</f>
        <v>1.0049650761062565</v>
      </c>
      <c r="AA73" s="256" cm="1">
        <f t="array" ref="AA73">TREND(Y73:Z73,T73:U73,A71,TRUE)</f>
        <v>1.004932468648787</v>
      </c>
    </row>
    <row r="74" spans="1:27" hidden="1" x14ac:dyDescent="0.2">
      <c r="A74" s="142">
        <f t="shared" si="21"/>
        <v>9.96875</v>
      </c>
      <c r="B74" s="100" t="s">
        <v>338</v>
      </c>
      <c r="C74" s="129">
        <v>45243</v>
      </c>
      <c r="D74" s="100" t="s">
        <v>53</v>
      </c>
      <c r="E74" s="107">
        <v>1.1830000000000001</v>
      </c>
      <c r="F74" s="100">
        <v>482</v>
      </c>
      <c r="G74" s="108">
        <v>0.96875</v>
      </c>
      <c r="H74" s="103"/>
      <c r="I74" s="103"/>
      <c r="J74" s="103">
        <v>450.4</v>
      </c>
      <c r="K74" s="103">
        <v>456.77</v>
      </c>
      <c r="L74" s="103">
        <f t="shared" si="20"/>
        <v>-6.3700000000000045</v>
      </c>
      <c r="M74" s="104">
        <v>30.2362</v>
      </c>
      <c r="N74" s="104">
        <v>15.697800000000001</v>
      </c>
      <c r="O74" s="35">
        <f t="shared" si="27"/>
        <v>20.446671961810466</v>
      </c>
      <c r="P74" s="35">
        <f t="shared" si="28"/>
        <v>10.701831516447101</v>
      </c>
      <c r="Q74" s="36">
        <f t="shared" si="29"/>
        <v>10.644972223529431</v>
      </c>
      <c r="R74" s="37">
        <f t="shared" si="30"/>
        <v>20.240445128013494</v>
      </c>
      <c r="S74" s="135">
        <f t="shared" si="31"/>
        <v>-4.1982804061694523E-2</v>
      </c>
      <c r="T74" s="10">
        <f>INDEX(Triple_Standards!$D:$D,MATCH(Triple_Calibrated!A74,Triple_Standards!$D:$D,1))</f>
        <v>9.7083333333357587</v>
      </c>
      <c r="U74" s="10" cm="1">
        <f t="array" ref="U74">INDEX(Triple_Standards!$D:$D,MATCH(Triple_Calibrated!A74,Triple_Standards!$D:$D,1)+1)</f>
        <v>10.015972222223354</v>
      </c>
      <c r="V74" s="11">
        <f>INDEX(Triple_Standards!$E:$E,MATCH(T74,Triple_Standards!$D:$D,0))</f>
        <v>1.0096067994830009</v>
      </c>
      <c r="W74" s="11">
        <f>INDEX(Triple_Standards!$E:$E,MATCH(U74,Triple_Standards!$D:$D,0))</f>
        <v>1.0095803690291869</v>
      </c>
      <c r="X74" s="11" cm="1">
        <f t="array" ref="X74">TREND(V74:W74,T74:U74,A72,)</f>
        <v>1.0095933754376103</v>
      </c>
      <c r="Y74" s="11">
        <f>INDEX(Triple_Standards!$F:$F,MATCH(T74,Triple_Standards!$D:$D,0))</f>
        <v>1.0049203544231022</v>
      </c>
      <c r="Z74" s="11">
        <f>INDEX(Triple_Standards!$F:$F,MATCH(U74,Triple_Standards!$D:$D,0))</f>
        <v>1.0049650761062565</v>
      </c>
      <c r="AA74" s="11" cm="1">
        <f t="array" ref="AA74">TREND(Y74:Z74,T74:U74,A72,TRUE)</f>
        <v>1.0049430685962615</v>
      </c>
    </row>
    <row r="75" spans="1:27" hidden="1" x14ac:dyDescent="0.2">
      <c r="A75" s="142">
        <f t="shared" si="21"/>
        <v>10.072916666666666</v>
      </c>
      <c r="B75" s="100" t="s">
        <v>339</v>
      </c>
      <c r="C75" s="129">
        <v>45244</v>
      </c>
      <c r="D75" s="100" t="s">
        <v>132</v>
      </c>
      <c r="E75" s="107">
        <v>1.149</v>
      </c>
      <c r="F75" s="100">
        <v>781</v>
      </c>
      <c r="G75" s="108">
        <v>7.2916666666666671E-2</v>
      </c>
      <c r="H75" s="103"/>
      <c r="I75" s="103"/>
      <c r="J75" s="103">
        <v>452.95</v>
      </c>
      <c r="K75" s="103">
        <v>456.79</v>
      </c>
      <c r="L75" s="103">
        <f t="shared" si="20"/>
        <v>-3.8400000000000318</v>
      </c>
      <c r="M75" s="104">
        <v>32.142600000000002</v>
      </c>
      <c r="N75" s="104">
        <v>16.664100000000001</v>
      </c>
      <c r="O75" s="35">
        <f t="shared" ref="O75" si="32">((1000+M75)/X75)-1000</f>
        <v>22.309841567010267</v>
      </c>
      <c r="P75" s="35">
        <f t="shared" ref="P75" si="33">((1000+N75)/AA75)-1000</f>
        <v>11.627710494451435</v>
      </c>
      <c r="Q75" s="36">
        <f t="shared" ref="Q75" si="34">1000*(LN(P75/1000+1))</f>
        <v>11.560628177181425</v>
      </c>
      <c r="R75" s="37">
        <f t="shared" ref="R75" si="35">1000*(LN(O75/1000+1))</f>
        <v>22.064617621913872</v>
      </c>
      <c r="S75" s="135">
        <f t="shared" ref="S75" si="36">Q75-0.528*R75</f>
        <v>-8.9489927189100982E-2</v>
      </c>
      <c r="T75" s="10">
        <f>INDEX(Triple_Standards!$D:$D,MATCH(Triple_Calibrated!A75,Triple_Standards!$D:$D,1))</f>
        <v>10.015972222223354</v>
      </c>
      <c r="U75" s="10" cm="1">
        <f t="array" ref="U75">INDEX(Triple_Standards!$D:$D,MATCH(Triple_Calibrated!A75,Triple_Standards!$D:$D,1)+1)</f>
        <v>10.267361111109494</v>
      </c>
      <c r="V75" s="11">
        <f>INDEX(Triple_Standards!$E:$E,MATCH(T75,Triple_Standards!$D:$D,0))</f>
        <v>1.0095803690291869</v>
      </c>
      <c r="W75" s="11">
        <f>INDEX(Triple_Standards!$E:$E,MATCH(U75,Triple_Standards!$D:$D,0))</f>
        <v>1.0094846558048967</v>
      </c>
      <c r="X75" s="11" cm="1">
        <f t="array" ref="X75">TREND(V75:W75,T75:U75,A73,)</f>
        <v>1.0096181783967939</v>
      </c>
      <c r="Y75" s="11">
        <f>INDEX(Triple_Standards!$F:$F,MATCH(T75,Triple_Standards!$D:$D,0))</f>
        <v>1.0049650761062565</v>
      </c>
      <c r="Z75" s="11">
        <f>INDEX(Triple_Standards!$F:$F,MATCH(U75,Triple_Standards!$D:$D,0))</f>
        <v>1.0049310915672958</v>
      </c>
      <c r="AA75" s="11" cm="1">
        <f t="array" ref="AA75">TREND(Y75:Z75,T75:U75,A73,TRUE)</f>
        <v>1.0049785009379457</v>
      </c>
    </row>
    <row r="76" spans="1:27" hidden="1" x14ac:dyDescent="0.2">
      <c r="A76" s="142">
        <f t="shared" si="21"/>
        <v>10.125</v>
      </c>
      <c r="B76" s="100" t="s">
        <v>340</v>
      </c>
      <c r="C76" s="129">
        <v>45244</v>
      </c>
      <c r="D76" s="100" t="s">
        <v>41</v>
      </c>
      <c r="E76" s="107">
        <v>1.175</v>
      </c>
      <c r="F76" s="100">
        <v>500</v>
      </c>
      <c r="G76" s="108">
        <v>0.125</v>
      </c>
      <c r="H76" s="103"/>
      <c r="I76" s="103"/>
      <c r="J76" s="103">
        <v>453.08</v>
      </c>
      <c r="K76" s="103">
        <v>456.8</v>
      </c>
      <c r="L76" s="103">
        <f t="shared" si="20"/>
        <v>-3.7200000000000273</v>
      </c>
      <c r="M76" s="104">
        <v>31.990100000000002</v>
      </c>
      <c r="N76" s="104">
        <v>16.6098</v>
      </c>
      <c r="O76" s="35">
        <f t="shared" ref="O76" si="37">((1000+M76)/X76)-1000</f>
        <v>22.178871160614108</v>
      </c>
      <c r="P76" s="35">
        <f t="shared" ref="P76" si="38">((1000+N76)/AA76)-1000</f>
        <v>11.58076673974756</v>
      </c>
      <c r="Q76" s="36">
        <f t="shared" ref="Q76" si="39">1000*(LN(P76/1000+1))</f>
        <v>11.514222920145027</v>
      </c>
      <c r="R76" s="37">
        <f t="shared" ref="R76" si="40">1000*(LN(O76/1000+1))</f>
        <v>21.936497172277821</v>
      </c>
      <c r="S76" s="135">
        <f t="shared" ref="S76" si="41">Q76-0.528*R76</f>
        <v>-6.8247586817662409E-2</v>
      </c>
      <c r="T76" s="10">
        <f>INDEX(Triple_Standards!$D:$D,MATCH(Triple_Calibrated!A76,Triple_Standards!$D:$D,1))</f>
        <v>10.015972222223354</v>
      </c>
      <c r="U76" s="10" cm="1">
        <f t="array" ref="U76">INDEX(Triple_Standards!$D:$D,MATCH(Triple_Calibrated!A76,Triple_Standards!$D:$D,1)+1)</f>
        <v>10.267361111109494</v>
      </c>
      <c r="V76" s="11">
        <f>INDEX(Triple_Standards!$E:$E,MATCH(T76,Triple_Standards!$D:$D,0))</f>
        <v>1.0095803690291869</v>
      </c>
      <c r="W76" s="11">
        <f>INDEX(Triple_Standards!$E:$E,MATCH(U76,Triple_Standards!$D:$D,0))</f>
        <v>1.0094846558048967</v>
      </c>
      <c r="X76" s="11" cm="1">
        <f t="array" ref="X76">TREND(V76:W76,T76:U76,A74,)</f>
        <v>1.0095983483088884</v>
      </c>
      <c r="Y76" s="11">
        <f>INDEX(Triple_Standards!$F:$F,MATCH(T76,Triple_Standards!$D:$D,0))</f>
        <v>1.0049650761062565</v>
      </c>
      <c r="Z76" s="11">
        <f>INDEX(Triple_Standards!$F:$F,MATCH(U76,Triple_Standards!$D:$D,0))</f>
        <v>1.0049310915672958</v>
      </c>
      <c r="AA76" s="11" cm="1">
        <f t="array" ref="AA76">TREND(Y76:Z76,T76:U76,A74,TRUE)</f>
        <v>1.0049714599423045</v>
      </c>
    </row>
    <row r="77" spans="1:27" hidden="1" x14ac:dyDescent="0.2">
      <c r="A77" s="142">
        <f t="shared" si="21"/>
        <v>10.194444444444445</v>
      </c>
      <c r="B77" s="100" t="s">
        <v>342</v>
      </c>
      <c r="C77" s="129">
        <v>45244</v>
      </c>
      <c r="D77" s="100" t="s">
        <v>41</v>
      </c>
      <c r="E77" s="107">
        <v>0.94599999999999995</v>
      </c>
      <c r="F77" s="100">
        <v>576</v>
      </c>
      <c r="G77" s="108">
        <v>0.19444444444444445</v>
      </c>
      <c r="H77" s="103"/>
      <c r="I77" s="103"/>
      <c r="J77" s="103">
        <v>455.12</v>
      </c>
      <c r="K77" s="103">
        <v>456.83</v>
      </c>
      <c r="L77" s="103">
        <f t="shared" si="20"/>
        <v>-1.7099999999999795</v>
      </c>
      <c r="M77" s="104">
        <v>31.4285</v>
      </c>
      <c r="N77" s="104">
        <v>16.297599999999999</v>
      </c>
      <c r="O77" s="35">
        <f t="shared" ref="O77" si="42">((1000+M77)/X77)-1000</f>
        <v>21.66274444863177</v>
      </c>
      <c r="P77" s="35">
        <f t="shared" ref="P77" si="43">((1000+N77)/AA77)-1000</f>
        <v>11.284281600179725</v>
      </c>
      <c r="Q77" s="36">
        <f t="shared" ref="Q77" si="44">1000*(LN(P77/1000+1))</f>
        <v>11.221089038639432</v>
      </c>
      <c r="R77" s="37">
        <f t="shared" ref="R77" si="45">1000*(LN(O77/1000+1))</f>
        <v>21.431441673836229</v>
      </c>
      <c r="S77" s="135">
        <f t="shared" ref="S77" si="46">Q77-0.528*R77</f>
        <v>-9.4712165146097149E-2</v>
      </c>
      <c r="T77" s="10">
        <f>INDEX(Triple_Standards!$D:$D,MATCH(Triple_Calibrated!A77,Triple_Standards!$D:$D,1))</f>
        <v>10.015972222223354</v>
      </c>
      <c r="U77" s="10" cm="1">
        <f t="array" ref="U77">INDEX(Triple_Standards!$D:$D,MATCH(Triple_Calibrated!A77,Triple_Standards!$D:$D,1)+1)</f>
        <v>10.267361111109494</v>
      </c>
      <c r="V77" s="11">
        <f>INDEX(Triple_Standards!$E:$E,MATCH(T77,Triple_Standards!$D:$D,0))</f>
        <v>1.0095803690291869</v>
      </c>
      <c r="W77" s="11">
        <f>INDEX(Triple_Standards!$E:$E,MATCH(U77,Triple_Standards!$D:$D,0))</f>
        <v>1.0094846558048967</v>
      </c>
      <c r="X77" s="11" cm="1">
        <f t="array" ref="X77">TREND(V77:W77,T77:U77,A75,)</f>
        <v>1.0095586881330771</v>
      </c>
      <c r="Y77" s="11">
        <f>INDEX(Triple_Standards!$F:$F,MATCH(T77,Triple_Standards!$D:$D,0))</f>
        <v>1.0049650761062565</v>
      </c>
      <c r="Z77" s="11">
        <f>INDEX(Triple_Standards!$F:$F,MATCH(U77,Triple_Standards!$D:$D,0))</f>
        <v>1.0049310915672958</v>
      </c>
      <c r="AA77" s="11" cm="1">
        <f t="array" ref="AA77">TREND(Y77:Z77,T77:U77,A75,TRUE)</f>
        <v>1.0049573779510224</v>
      </c>
    </row>
    <row r="78" spans="1:27" hidden="1" x14ac:dyDescent="0.2">
      <c r="A78" s="142">
        <f t="shared" si="21"/>
        <v>10.555555555555555</v>
      </c>
      <c r="B78" s="100" t="s">
        <v>349</v>
      </c>
      <c r="C78" s="129">
        <v>45244</v>
      </c>
      <c r="D78" s="100" t="s">
        <v>44</v>
      </c>
      <c r="E78" s="107">
        <v>1.5129999999999999</v>
      </c>
      <c r="F78" s="100">
        <v>625</v>
      </c>
      <c r="G78" s="108">
        <v>0.55555555555555558</v>
      </c>
      <c r="H78" s="103"/>
      <c r="I78" s="103"/>
      <c r="J78" s="103">
        <v>455.83</v>
      </c>
      <c r="K78" s="103">
        <v>456.13</v>
      </c>
      <c r="L78" s="103">
        <f t="shared" si="20"/>
        <v>-0.30000000000001137</v>
      </c>
      <c r="M78" s="104">
        <v>31.190100000000001</v>
      </c>
      <c r="N78" s="104">
        <v>16.215199999999999</v>
      </c>
      <c r="O78" s="35">
        <f t="shared" ref="O78:O82" si="47">((1000+M78)/X78)-1000</f>
        <v>21.53933624854767</v>
      </c>
      <c r="P78" s="35">
        <f t="shared" ref="P78:P82" si="48">((1000+N78)/AA78)-1000</f>
        <v>11.248349972279811</v>
      </c>
      <c r="Q78" s="36">
        <f t="shared" ref="Q78:Q82" si="49">1000*(LN(P78/1000+1))</f>
        <v>11.185557717816403</v>
      </c>
      <c r="R78" s="37">
        <f t="shared" ref="R78:R82" si="50">1000*(LN(O78/1000+1))</f>
        <v>21.310642853788032</v>
      </c>
      <c r="S78" s="135">
        <f t="shared" ref="S78:S82" si="51">Q78-0.528*R78</f>
        <v>-6.6461708983679202E-2</v>
      </c>
      <c r="T78" s="10">
        <f>INDEX(Triple_Standards!$D:$D,MATCH(Triple_Calibrated!A78,Triple_Standards!$D:$D,1))</f>
        <v>10.267361111109494</v>
      </c>
      <c r="U78" s="10" cm="1">
        <f t="array" ref="U78">INDEX(Triple_Standards!$D:$D,MATCH(Triple_Calibrated!A78,Triple_Standards!$D:$D,1)+1)</f>
        <v>10.784722222218988</v>
      </c>
      <c r="V78" s="11">
        <f>INDEX(Triple_Standards!$E:$E,MATCH(T78,Triple_Standards!$D:$D,0))</f>
        <v>1.0094846558048967</v>
      </c>
      <c r="W78" s="11">
        <f>INDEX(Triple_Standards!$E:$E,MATCH(U78,Triple_Standards!$D:$D,0))</f>
        <v>1.0096205005638383</v>
      </c>
      <c r="X78" s="11" cm="1">
        <f t="array" ref="X78">TREND(V78:W78,T78:U78,A76,)</f>
        <v>1.0094472757034432</v>
      </c>
      <c r="Y78" s="11">
        <f>INDEX(Triple_Standards!$F:$F,MATCH(T78,Triple_Standards!$D:$D,0))</f>
        <v>1.0049310915672958</v>
      </c>
      <c r="Z78" s="11">
        <f>INDEX(Triple_Standards!$F:$F,MATCH(U78,Triple_Standards!$D:$D,0))</f>
        <v>1.0050019173166083</v>
      </c>
      <c r="AA78" s="11" cm="1">
        <f t="array" ref="AA78">TREND(Y78:Z78,T78:U78,A76,TRUE)</f>
        <v>1.0049116026027201</v>
      </c>
    </row>
    <row r="79" spans="1:27" ht="17" thickBot="1" x14ac:dyDescent="0.25">
      <c r="A79" s="142">
        <f t="shared" si="21"/>
        <v>10.618055555555555</v>
      </c>
      <c r="B79" s="47" t="s">
        <v>350</v>
      </c>
      <c r="C79" s="62">
        <v>45244</v>
      </c>
      <c r="D79" s="47" t="s">
        <v>53</v>
      </c>
      <c r="E79" s="48">
        <v>2.81</v>
      </c>
      <c r="F79" s="47">
        <v>522</v>
      </c>
      <c r="G79" s="67">
        <v>0.61805555555555558</v>
      </c>
      <c r="H79" s="49"/>
      <c r="I79" s="49"/>
      <c r="J79" s="49">
        <v>456.56</v>
      </c>
      <c r="K79" s="49">
        <v>456.05</v>
      </c>
      <c r="L79" s="49">
        <f t="shared" si="20"/>
        <v>0.50999999999999091</v>
      </c>
      <c r="M79" s="63">
        <v>34.9998</v>
      </c>
      <c r="N79" s="63">
        <v>18.1615</v>
      </c>
      <c r="O79" s="35">
        <f t="shared" si="47"/>
        <v>25.294861340308216</v>
      </c>
      <c r="P79" s="35">
        <f t="shared" si="48"/>
        <v>13.175552251065028</v>
      </c>
      <c r="Q79" s="395">
        <f t="shared" si="49"/>
        <v>13.089509611339929</v>
      </c>
      <c r="R79" s="396">
        <f t="shared" si="50"/>
        <v>24.980240821706172</v>
      </c>
      <c r="S79" s="397">
        <f t="shared" si="51"/>
        <v>-0.10005754252092913</v>
      </c>
      <c r="T79" s="10">
        <f>INDEX(Triple_Standards!$D:$D,MATCH(Triple_Calibrated!A79,Triple_Standards!$D:$D,1))</f>
        <v>10.267361111109494</v>
      </c>
      <c r="U79" s="10" cm="1">
        <f t="array" ref="U79">INDEX(Triple_Standards!$D:$D,MATCH(Triple_Calibrated!A79,Triple_Standards!$D:$D,1)+1)</f>
        <v>10.784722222218988</v>
      </c>
      <c r="V79" s="11">
        <f>INDEX(Triple_Standards!$E:$E,MATCH(T79,Triple_Standards!$D:$D,0))</f>
        <v>1.0094846558048967</v>
      </c>
      <c r="W79" s="11">
        <f>INDEX(Triple_Standards!$E:$E,MATCH(U79,Triple_Standards!$D:$D,0))</f>
        <v>1.0096205005638383</v>
      </c>
      <c r="X79" s="11" cm="1">
        <f t="array" ref="X79">TREND(V79:W79,T79:U79,A77,)</f>
        <v>1.0094655098992744</v>
      </c>
      <c r="Y79" s="11">
        <f>INDEX(Triple_Standards!$F:$F,MATCH(T79,Triple_Standards!$D:$D,0))</f>
        <v>1.0049310915672958</v>
      </c>
      <c r="Z79" s="11">
        <f>INDEX(Triple_Standards!$F:$F,MATCH(U79,Triple_Standards!$D:$D,0))</f>
        <v>1.0050019173166083</v>
      </c>
      <c r="AA79" s="11" cm="1">
        <f t="array" ref="AA79">TREND(Y79:Z79,T79:U79,A77,TRUE)</f>
        <v>1.0049211094147084</v>
      </c>
    </row>
    <row r="80" spans="1:27" hidden="1" x14ac:dyDescent="0.2">
      <c r="A80" s="142">
        <f t="shared" si="21"/>
        <v>10.677083333333334</v>
      </c>
      <c r="B80" s="100" t="s">
        <v>351</v>
      </c>
      <c r="C80" s="129">
        <v>45244</v>
      </c>
      <c r="D80" s="100" t="s">
        <v>53</v>
      </c>
      <c r="E80" s="107">
        <v>1.323</v>
      </c>
      <c r="F80" s="100">
        <v>700</v>
      </c>
      <c r="G80" s="108">
        <v>0.67708333333333337</v>
      </c>
      <c r="H80" s="103"/>
      <c r="I80" s="103"/>
      <c r="J80" s="103">
        <v>456.46</v>
      </c>
      <c r="K80" s="103">
        <v>456.48</v>
      </c>
      <c r="L80" s="103">
        <f t="shared" si="20"/>
        <v>-2.0000000000038654E-2</v>
      </c>
      <c r="M80" s="104">
        <v>32.624099999999999</v>
      </c>
      <c r="N80" s="104">
        <v>16.878900000000002</v>
      </c>
      <c r="O80" s="35">
        <f t="shared" si="47"/>
        <v>22.845363124109667</v>
      </c>
      <c r="P80" s="35">
        <f t="shared" si="48"/>
        <v>11.849456906106184</v>
      </c>
      <c r="Q80" s="36">
        <f t="shared" si="49"/>
        <v>11.779801801786727</v>
      </c>
      <c r="R80" s="37">
        <f t="shared" si="50"/>
        <v>22.588315352150101</v>
      </c>
      <c r="S80" s="135">
        <f t="shared" si="51"/>
        <v>-0.14682870414852722</v>
      </c>
      <c r="T80" s="10">
        <f>INDEX(Triple_Standards!$D:$D,MATCH(Triple_Calibrated!A80,Triple_Standards!$D:$D,1))</f>
        <v>10.267361111109494</v>
      </c>
      <c r="U80" s="10" cm="1">
        <f t="array" ref="U80">INDEX(Triple_Standards!$D:$D,MATCH(Triple_Calibrated!A80,Triple_Standards!$D:$D,1)+1)</f>
        <v>10.784722222218988</v>
      </c>
      <c r="V80" s="11">
        <f>INDEX(Triple_Standards!$E:$E,MATCH(T80,Triple_Standards!$D:$D,0))</f>
        <v>1.0094846558048967</v>
      </c>
      <c r="W80" s="11">
        <f>INDEX(Triple_Standards!$E:$E,MATCH(U80,Triple_Standards!$D:$D,0))</f>
        <v>1.0096205005638383</v>
      </c>
      <c r="X80" s="11" cm="1">
        <f t="array" ref="X80">TREND(V80:W80,T80:U80,A78,)</f>
        <v>1.0095603277175964</v>
      </c>
      <c r="Y80" s="11">
        <f>INDEX(Triple_Standards!$F:$F,MATCH(T80,Triple_Standards!$D:$D,0))</f>
        <v>1.0049310915672958</v>
      </c>
      <c r="Z80" s="11">
        <f>INDEX(Triple_Standards!$F:$F,MATCH(U80,Triple_Standards!$D:$D,0))</f>
        <v>1.0050019173166083</v>
      </c>
      <c r="AA80" s="11" cm="1">
        <f t="array" ref="AA80">TREND(Y80:Z80,T80:U80,A78,TRUE)</f>
        <v>1.0049705448370474</v>
      </c>
    </row>
    <row r="81" spans="1:27" hidden="1" x14ac:dyDescent="0.2">
      <c r="A81" s="142">
        <f t="shared" si="21"/>
        <v>10.729166666666666</v>
      </c>
      <c r="B81" s="100" t="s">
        <v>352</v>
      </c>
      <c r="C81" s="129">
        <v>45244</v>
      </c>
      <c r="D81" s="100" t="s">
        <v>132</v>
      </c>
      <c r="E81" s="107">
        <v>1.423</v>
      </c>
      <c r="F81" s="100">
        <v>550</v>
      </c>
      <c r="G81" s="108">
        <v>0.72916666666666663</v>
      </c>
      <c r="H81" s="103"/>
      <c r="I81" s="103"/>
      <c r="J81" s="103">
        <v>457.42</v>
      </c>
      <c r="K81" s="103">
        <v>456.81</v>
      </c>
      <c r="L81" s="103">
        <f t="shared" si="20"/>
        <v>0.61000000000001364</v>
      </c>
      <c r="M81" s="104">
        <v>31.917300000000001</v>
      </c>
      <c r="N81" s="104">
        <v>16.6509</v>
      </c>
      <c r="O81" s="35">
        <f t="shared" si="47"/>
        <v>22.128641295246894</v>
      </c>
      <c r="P81" s="35">
        <f t="shared" si="48"/>
        <v>11.613971893467919</v>
      </c>
      <c r="Q81" s="36">
        <f t="shared" si="49"/>
        <v>11.54704739629587</v>
      </c>
      <c r="R81" s="37">
        <f t="shared" si="50"/>
        <v>21.887355969135584</v>
      </c>
      <c r="S81" s="135">
        <f t="shared" si="51"/>
        <v>-9.4765554077191894E-3</v>
      </c>
      <c r="T81" s="10">
        <f>INDEX(Triple_Standards!$D:$D,MATCH(Triple_Calibrated!A81,Triple_Standards!$D:$D,1))</f>
        <v>10.267361111109494</v>
      </c>
      <c r="U81" s="10" cm="1">
        <f t="array" ref="U81">INDEX(Triple_Standards!$D:$D,MATCH(Triple_Calibrated!A81,Triple_Standards!$D:$D,1)+1)</f>
        <v>10.784722222218988</v>
      </c>
      <c r="V81" s="11">
        <f>INDEX(Triple_Standards!$E:$E,MATCH(T81,Triple_Standards!$D:$D,0))</f>
        <v>1.0094846558048967</v>
      </c>
      <c r="W81" s="11">
        <f>INDEX(Triple_Standards!$E:$E,MATCH(U81,Triple_Standards!$D:$D,0))</f>
        <v>1.0096205005638383</v>
      </c>
      <c r="X81" s="11" cm="1">
        <f t="array" ref="X81">TREND(V81:W81,T81:U81,A79,)</f>
        <v>1.0095767384938445</v>
      </c>
      <c r="Y81" s="11">
        <f>INDEX(Triple_Standards!$F:$F,MATCH(T81,Triple_Standards!$D:$D,0))</f>
        <v>1.0049310915672958</v>
      </c>
      <c r="Z81" s="11">
        <f>INDEX(Triple_Standards!$F:$F,MATCH(U81,Triple_Standards!$D:$D,0))</f>
        <v>1.0050019173166083</v>
      </c>
      <c r="AA81" s="11" cm="1">
        <f t="array" ref="AA81">TREND(Y81:Z81,T81:U81,A79,TRUE)</f>
        <v>1.0049791009678368</v>
      </c>
    </row>
    <row r="82" spans="1:27" s="327" customFormat="1" ht="17" thickBot="1" x14ac:dyDescent="0.25">
      <c r="A82" s="317">
        <f>C82-$A$1+G82</f>
        <v>10.854166666666666</v>
      </c>
      <c r="B82" s="318" t="s">
        <v>354</v>
      </c>
      <c r="C82" s="319">
        <v>45244</v>
      </c>
      <c r="D82" s="318" t="s">
        <v>41</v>
      </c>
      <c r="E82" s="320">
        <v>1.325</v>
      </c>
      <c r="F82" s="318">
        <v>471</v>
      </c>
      <c r="G82" s="321">
        <v>0.85416666666666663</v>
      </c>
      <c r="H82" s="322"/>
      <c r="I82" s="322"/>
      <c r="J82" s="322">
        <v>454.9</v>
      </c>
      <c r="K82" s="322">
        <v>456.83</v>
      </c>
      <c r="L82" s="322">
        <f t="shared" si="20"/>
        <v>-1.9300000000000068</v>
      </c>
      <c r="M82" s="323">
        <v>34.246299999999998</v>
      </c>
      <c r="N82" s="323">
        <v>17.7607</v>
      </c>
      <c r="O82" s="324">
        <f t="shared" si="47"/>
        <v>24.280581471376081</v>
      </c>
      <c r="P82" s="324">
        <f t="shared" si="48"/>
        <v>12.640447308141233</v>
      </c>
      <c r="Q82" s="404">
        <f t="shared" si="49"/>
        <v>12.561223769501073</v>
      </c>
      <c r="R82" s="405">
        <f t="shared" si="50"/>
        <v>23.990494427848585</v>
      </c>
      <c r="S82" s="406">
        <f t="shared" si="51"/>
        <v>-0.10575728840298027</v>
      </c>
      <c r="T82" s="325">
        <f>INDEX(Triple_Standards!$D:$D,MATCH(Triple_Calibrated!A82,Triple_Standards!$D:$D,1))</f>
        <v>10.784722222218988</v>
      </c>
      <c r="U82" s="325" cm="1">
        <f t="array" ref="U82">INDEX(Triple_Standards!$D:$D,MATCH(Triple_Calibrated!A82,Triple_Standards!$D:$D,1)+1)</f>
        <v>10.979166666664241</v>
      </c>
      <c r="V82" s="326">
        <f>INDEX(Triple_Standards!$E:$E,MATCH(T82,Triple_Standards!$D:$D,0))</f>
        <v>1.0096205005638383</v>
      </c>
      <c r="W82" s="326">
        <f>INDEX(Triple_Standards!$E:$E,MATCH(U82,Triple_Standards!$D:$D,0))</f>
        <v>1.0094236325512378</v>
      </c>
      <c r="X82" s="326" cm="1">
        <f t="array" ref="X82">TREND(V82:W82,T82:U82,A80,)</f>
        <v>1.00972948107081</v>
      </c>
      <c r="Y82" s="326">
        <f>INDEX(Triple_Standards!$F:$F,MATCH(T82,Triple_Standards!$D:$D,0))</f>
        <v>1.0050019173166083</v>
      </c>
      <c r="Z82" s="326">
        <f>INDEX(Triple_Standards!$F:$F,MATCH(U82,Triple_Standards!$D:$D,0))</f>
        <v>1.0049036084183969</v>
      </c>
      <c r="AA82" s="326" cm="1">
        <f t="array" ref="AA82">TREND(Y82:Z82,T82:U82,A80,TRUE)</f>
        <v>1.0050563383138307</v>
      </c>
    </row>
    <row r="83" spans="1:27" hidden="1" x14ac:dyDescent="0.2">
      <c r="A83" s="142">
        <f t="shared" si="21"/>
        <v>11.041666666666666</v>
      </c>
      <c r="B83" s="100" t="s">
        <v>357</v>
      </c>
      <c r="C83" s="129">
        <v>45245</v>
      </c>
      <c r="D83" s="100" t="s">
        <v>96</v>
      </c>
      <c r="E83" s="107">
        <v>0.98699999999999999</v>
      </c>
      <c r="F83" s="100">
        <v>548</v>
      </c>
      <c r="G83" s="108">
        <v>4.1666666666666664E-2</v>
      </c>
      <c r="H83" s="140"/>
      <c r="I83" s="140"/>
      <c r="J83" s="103">
        <v>458.21</v>
      </c>
      <c r="K83" s="103">
        <v>456.9</v>
      </c>
      <c r="L83" s="103">
        <f t="shared" si="20"/>
        <v>1.3100000000000023</v>
      </c>
      <c r="M83" s="104">
        <v>32.082999999999998</v>
      </c>
      <c r="N83" s="104">
        <v>16.617999999999999</v>
      </c>
      <c r="O83" s="35">
        <f t="shared" ref="O83:O90" si="52">((1000+M83)/X83)-1000</f>
        <v>22.533963673700896</v>
      </c>
      <c r="P83" s="35">
        <f t="shared" ref="P83:P90" si="53">((1000+N83)/AA83)-1000</f>
        <v>11.742551227794024</v>
      </c>
      <c r="Q83" s="36">
        <f t="shared" ref="Q83:Q90" si="54">1000*(LN(P83/1000+1))</f>
        <v>11.674142481150916</v>
      </c>
      <c r="R83" s="37">
        <f t="shared" ref="R83:R90" si="55">1000*(LN(O83/1000+1))</f>
        <v>22.283824689968476</v>
      </c>
      <c r="S83" s="135">
        <f t="shared" ref="S83:S90" si="56">Q83-0.528*R83</f>
        <v>-9.1716955152440605E-2</v>
      </c>
      <c r="T83" s="10">
        <f>INDEX(Triple_Standards!$D:$D,MATCH(Triple_Calibrated!A83,Triple_Standards!$D:$D,1))</f>
        <v>10.979166666664241</v>
      </c>
      <c r="U83" s="10" cm="1">
        <f t="array" ref="U83">INDEX(Triple_Standards!$D:$D,MATCH(Triple_Calibrated!A83,Triple_Standards!$D:$D,1)+1)</f>
        <v>11.25</v>
      </c>
      <c r="V83" s="11">
        <f>INDEX(Triple_Standards!$E:$E,MATCH(T83,Triple_Standards!$D:$D,0))</f>
        <v>1.0094236325512378</v>
      </c>
      <c r="W83" s="11">
        <f>INDEX(Triple_Standards!$E:$E,MATCH(U83,Triple_Standards!$D:$D,0))</f>
        <v>1.0095157504564427</v>
      </c>
      <c r="X83" s="11" cm="1">
        <f t="array" ref="X83">TREND(V83:W83,T83:U83,A81,)</f>
        <v>1.0093386006387426</v>
      </c>
      <c r="Y83" s="11">
        <f>INDEX(Triple_Standards!$F:$F,MATCH(T83,Triple_Standards!$D:$D,0))</f>
        <v>1.0049036084183969</v>
      </c>
      <c r="Z83" s="11">
        <f>INDEX(Triple_Standards!$F:$F,MATCH(U83,Triple_Standards!$D:$D,0))</f>
        <v>1.0049954159265462</v>
      </c>
      <c r="AA83" s="11" cm="1">
        <f t="array" ref="AA83">TREND(Y83:Z83,T83:U83,A81,TRUE)</f>
        <v>1.0048188630262604</v>
      </c>
    </row>
    <row r="84" spans="1:27" s="333" customFormat="1" ht="17" thickBot="1" x14ac:dyDescent="0.25">
      <c r="A84" s="328">
        <f t="shared" si="21"/>
        <v>11.083333333333334</v>
      </c>
      <c r="B84" s="329" t="s">
        <v>358</v>
      </c>
      <c r="C84" s="330">
        <v>45245</v>
      </c>
      <c r="D84" s="329" t="s">
        <v>321</v>
      </c>
      <c r="E84" s="331">
        <v>3.2749999999999999</v>
      </c>
      <c r="F84" s="329">
        <v>1340</v>
      </c>
      <c r="G84" s="332">
        <v>8.3333333333333329E-2</v>
      </c>
      <c r="J84" s="334">
        <v>457.14</v>
      </c>
      <c r="K84" s="334">
        <v>456.81</v>
      </c>
      <c r="L84" s="334">
        <f t="shared" si="20"/>
        <v>0.32999999999998408</v>
      </c>
      <c r="M84" s="335">
        <v>35.223399999999998</v>
      </c>
      <c r="N84" s="335">
        <v>18.272500000000001</v>
      </c>
      <c r="O84" s="336">
        <f t="shared" si="52"/>
        <v>25.602107053661712</v>
      </c>
      <c r="P84" s="336">
        <f t="shared" si="53"/>
        <v>13.346384357269585</v>
      </c>
      <c r="Q84" s="407">
        <f t="shared" si="54"/>
        <v>13.258105967020319</v>
      </c>
      <c r="R84" s="408">
        <f t="shared" si="55"/>
        <v>25.279861641656595</v>
      </c>
      <c r="S84" s="409">
        <f t="shared" si="56"/>
        <v>-8.9660979774365046E-2</v>
      </c>
      <c r="T84" s="337">
        <f>INDEX(Triple_Standards!$D:$D,MATCH(Triple_Calibrated!A84,Triple_Standards!$D:$D,1))</f>
        <v>10.979166666664241</v>
      </c>
      <c r="U84" s="337" cm="1">
        <f t="array" ref="U84">INDEX(Triple_Standards!$D:$D,MATCH(Triple_Calibrated!A84,Triple_Standards!$D:$D,1)+1)</f>
        <v>11.25</v>
      </c>
      <c r="V84" s="338">
        <f>INDEX(Triple_Standards!$E:$E,MATCH(T84,Triple_Standards!$D:$D,0))</f>
        <v>1.0094236325512378</v>
      </c>
      <c r="W84" s="338">
        <f>INDEX(Triple_Standards!$E:$E,MATCH(U84,Triple_Standards!$D:$D,0))</f>
        <v>1.0095157504564427</v>
      </c>
      <c r="X84" s="338" cm="1">
        <f t="array" ref="X84">TREND(V84:W84,T84:U84,A82,)</f>
        <v>1.0093811165949906</v>
      </c>
      <c r="Y84" s="338">
        <f>INDEX(Triple_Standards!$F:$F,MATCH(T84,Triple_Standards!$D:$D,0))</f>
        <v>1.0049036084183969</v>
      </c>
      <c r="Z84" s="338">
        <f>INDEX(Triple_Standards!$F:$F,MATCH(U84,Triple_Standards!$D:$D,0))</f>
        <v>1.0049954159265462</v>
      </c>
      <c r="AA84" s="338" cm="1">
        <f t="array" ref="AA84">TREND(Y84:Z84,T84:U84,A82,TRUE)</f>
        <v>1.004861235722329</v>
      </c>
    </row>
    <row r="85" spans="1:27" hidden="1" x14ac:dyDescent="0.2">
      <c r="A85" s="142">
        <f t="shared" si="21"/>
        <v>11.145833333333334</v>
      </c>
      <c r="B85" s="100" t="s">
        <v>360</v>
      </c>
      <c r="C85" s="129">
        <v>45245</v>
      </c>
      <c r="D85" s="100" t="s">
        <v>41</v>
      </c>
      <c r="E85" s="107">
        <v>1.248</v>
      </c>
      <c r="F85" s="100">
        <v>820</v>
      </c>
      <c r="G85" s="108">
        <v>0.14583333333333334</v>
      </c>
      <c r="H85" s="140"/>
      <c r="I85" s="140"/>
      <c r="J85" s="103">
        <v>457.95</v>
      </c>
      <c r="K85" s="103">
        <v>456.85</v>
      </c>
      <c r="L85" s="103">
        <f t="shared" si="20"/>
        <v>1.0999999999999659</v>
      </c>
      <c r="M85" s="104">
        <v>32.149000000000001</v>
      </c>
      <c r="N85" s="104">
        <v>16.686</v>
      </c>
      <c r="O85" s="35">
        <f t="shared" si="52"/>
        <v>22.491678033786343</v>
      </c>
      <c r="P85" s="35">
        <f t="shared" si="53"/>
        <v>11.703567565274057</v>
      </c>
      <c r="Q85" s="36">
        <f t="shared" si="54"/>
        <v>11.635610530966899</v>
      </c>
      <c r="R85" s="37">
        <f t="shared" si="55"/>
        <v>22.242470059436382</v>
      </c>
      <c r="S85" s="135">
        <f t="shared" si="56"/>
        <v>-0.10841366041551126</v>
      </c>
      <c r="T85" s="10">
        <f>INDEX(Triple_Standards!$D:$D,MATCH(Triple_Calibrated!A85,Triple_Standards!$D:$D,1))</f>
        <v>10.979166666664241</v>
      </c>
      <c r="U85" s="10" cm="1">
        <f t="array" ref="U85">INDEX(Triple_Standards!$D:$D,MATCH(Triple_Calibrated!A85,Triple_Standards!$D:$D,1)+1)</f>
        <v>11.25</v>
      </c>
      <c r="V85" s="11">
        <f>INDEX(Triple_Standards!$E:$E,MATCH(T85,Triple_Standards!$D:$D,0))</f>
        <v>1.0094236325512378</v>
      </c>
      <c r="W85" s="11">
        <f>INDEX(Triple_Standards!$E:$E,MATCH(U85,Triple_Standards!$D:$D,0))</f>
        <v>1.0095157504564427</v>
      </c>
      <c r="X85" s="11" cm="1">
        <f t="array" ref="X85">TREND(V85:W85,T85:U85,A83,)</f>
        <v>1.0094448905293627</v>
      </c>
      <c r="Y85" s="11">
        <f>INDEX(Triple_Standards!$F:$F,MATCH(T85,Triple_Standards!$D:$D,0))</f>
        <v>1.0049036084183969</v>
      </c>
      <c r="Z85" s="11">
        <f>INDEX(Triple_Standards!$F:$F,MATCH(U85,Triple_Standards!$D:$D,0))</f>
        <v>1.0049954159265462</v>
      </c>
      <c r="AA85" s="11" cm="1">
        <f t="array" ref="AA85">TREND(Y85:Z85,T85:U85,A83,TRUE)</f>
        <v>1.0049247947664319</v>
      </c>
    </row>
    <row r="86" spans="1:27" ht="17" thickBot="1" x14ac:dyDescent="0.25">
      <c r="A86" s="142">
        <f t="shared" si="21"/>
        <v>11.197916666666666</v>
      </c>
      <c r="B86" s="119" t="s">
        <v>362</v>
      </c>
      <c r="C86" s="154">
        <v>45245</v>
      </c>
      <c r="D86" s="119" t="s">
        <v>41</v>
      </c>
      <c r="E86" s="120">
        <v>1.458</v>
      </c>
      <c r="F86" s="119" t="s">
        <v>363</v>
      </c>
      <c r="G86" s="130">
        <v>0.19791666666666666</v>
      </c>
      <c r="H86" s="139"/>
      <c r="I86" s="139"/>
      <c r="J86" s="121">
        <v>457.55</v>
      </c>
      <c r="K86" s="121">
        <v>456.67</v>
      </c>
      <c r="L86" s="121">
        <f t="shared" si="20"/>
        <v>0.87999999999999545</v>
      </c>
      <c r="M86" s="122">
        <v>34.091299999999997</v>
      </c>
      <c r="N86" s="122">
        <v>17.695699999999999</v>
      </c>
      <c r="O86" s="35">
        <f t="shared" si="52"/>
        <v>24.401422900555644</v>
      </c>
      <c r="P86" s="35">
        <f t="shared" si="53"/>
        <v>12.694085939331444</v>
      </c>
      <c r="Q86" s="395">
        <f t="shared" si="54"/>
        <v>12.614191445035413</v>
      </c>
      <c r="R86" s="396">
        <f t="shared" si="55"/>
        <v>24.108464351010724</v>
      </c>
      <c r="S86" s="397">
        <f t="shared" si="56"/>
        <v>-0.11507773229824991</v>
      </c>
      <c r="T86" s="10">
        <f>INDEX(Triple_Standards!$D:$D,MATCH(Triple_Calibrated!A86,Triple_Standards!$D:$D,1))</f>
        <v>10.979166666664241</v>
      </c>
      <c r="U86" s="10" cm="1">
        <f t="array" ref="U86">INDEX(Triple_Standards!$D:$D,MATCH(Triple_Calibrated!A86,Triple_Standards!$D:$D,1)+1)</f>
        <v>11.25</v>
      </c>
      <c r="V86" s="11">
        <f>INDEX(Triple_Standards!$E:$E,MATCH(T86,Triple_Standards!$D:$D,0))</f>
        <v>1.0094236325512378</v>
      </c>
      <c r="W86" s="11">
        <f>INDEX(Triple_Standards!$E:$E,MATCH(U86,Triple_Standards!$D:$D,0))</f>
        <v>1.0095157504564427</v>
      </c>
      <c r="X86" s="11" cm="1">
        <f t="array" ref="X86">TREND(V86:W86,T86:U86,A84,)</f>
        <v>1.0094590625147786</v>
      </c>
      <c r="Y86" s="11">
        <f>INDEX(Triple_Standards!$F:$F,MATCH(T86,Triple_Standards!$D:$D,0))</f>
        <v>1.0049036084183969</v>
      </c>
      <c r="Z86" s="11">
        <f>INDEX(Triple_Standards!$F:$F,MATCH(U86,Triple_Standards!$D:$D,0))</f>
        <v>1.0049954159265462</v>
      </c>
      <c r="AA86" s="11" cm="1">
        <f t="array" ref="AA86">TREND(Y86:Z86,T86:U86,A84,TRUE)</f>
        <v>1.0049389189984548</v>
      </c>
    </row>
    <row r="87" spans="1:27" hidden="1" x14ac:dyDescent="0.2">
      <c r="A87" s="142">
        <f t="shared" si="21"/>
        <v>11.304166666666667</v>
      </c>
      <c r="B87" s="100" t="s">
        <v>364</v>
      </c>
      <c r="C87" s="129">
        <v>45245</v>
      </c>
      <c r="D87" s="100" t="s">
        <v>44</v>
      </c>
      <c r="E87" s="100">
        <v>2.226</v>
      </c>
      <c r="F87" s="100">
        <v>776</v>
      </c>
      <c r="G87" s="108">
        <v>0.30416666666666664</v>
      </c>
      <c r="H87" s="140"/>
      <c r="I87" s="140"/>
      <c r="J87" s="103">
        <v>456.51</v>
      </c>
      <c r="K87" s="103">
        <v>456.56</v>
      </c>
      <c r="L87" s="103">
        <f t="shared" si="20"/>
        <v>-5.0000000000011369E-2</v>
      </c>
      <c r="M87" s="104">
        <v>29.9374</v>
      </c>
      <c r="N87" s="104">
        <v>15.534599999999999</v>
      </c>
      <c r="O87" s="35">
        <f t="shared" si="52"/>
        <v>20.282040301103962</v>
      </c>
      <c r="P87" s="35">
        <f t="shared" si="53"/>
        <v>10.477554118376588</v>
      </c>
      <c r="Q87" s="36">
        <f t="shared" si="54"/>
        <v>10.423044966023213</v>
      </c>
      <c r="R87" s="37">
        <f t="shared" si="55"/>
        <v>20.079099173429405</v>
      </c>
      <c r="S87" s="135">
        <f t="shared" si="56"/>
        <v>-0.17871939754751409</v>
      </c>
      <c r="T87" s="10">
        <f>INDEX(Triple_Standards!$D:$D,MATCH(Triple_Calibrated!A87,Triple_Standards!$D:$D,1))</f>
        <v>11.25</v>
      </c>
      <c r="U87" s="10" cm="1">
        <f t="array" ref="U87">INDEX(Triple_Standards!$D:$D,MATCH(Triple_Calibrated!A87,Triple_Standards!$D:$D,1)+1)</f>
        <v>11.53125</v>
      </c>
      <c r="V87" s="11">
        <f>INDEX(Triple_Standards!$E:$E,MATCH(T87,Triple_Standards!$D:$D,0))</f>
        <v>1.0095157504564427</v>
      </c>
      <c r="W87" s="11">
        <f>INDEX(Triple_Standards!$E:$E,MATCH(U87,Triple_Standards!$D:$D,0))</f>
        <v>1.0096570367794049</v>
      </c>
      <c r="X87" s="11" cm="1">
        <f t="array" ref="X87">TREND(V87:W87,T87:U87,A85,)</f>
        <v>1.0094634221886789</v>
      </c>
      <c r="Y87" s="11">
        <f>INDEX(Triple_Standards!$F:$F,MATCH(T87,Triple_Standards!$D:$D,0))</f>
        <v>1.0049954159265462</v>
      </c>
      <c r="Z87" s="11">
        <f>INDEX(Triple_Standards!$F:$F,MATCH(U87,Triple_Standards!$D:$D,0))</f>
        <v>1.0049705924372183</v>
      </c>
      <c r="AA87" s="11" cm="1">
        <f t="array" ref="AA87">TREND(Y87:Z87,T87:U87,A85,TRUE)</f>
        <v>1.0050046098114822</v>
      </c>
    </row>
    <row r="88" spans="1:27" s="275" customFormat="1" ht="17" thickBot="1" x14ac:dyDescent="0.25">
      <c r="A88" s="264">
        <f t="shared" si="21"/>
        <v>11.357638888888889</v>
      </c>
      <c r="B88" s="267" t="s">
        <v>365</v>
      </c>
      <c r="C88" s="266">
        <v>45245</v>
      </c>
      <c r="D88" s="267" t="s">
        <v>44</v>
      </c>
      <c r="E88" s="268">
        <v>3.66</v>
      </c>
      <c r="F88" s="276">
        <v>661</v>
      </c>
      <c r="G88" s="269">
        <v>0.3576388888888889</v>
      </c>
      <c r="J88" s="270">
        <v>455.9</v>
      </c>
      <c r="K88" s="270">
        <v>456.47</v>
      </c>
      <c r="L88" s="270">
        <f t="shared" si="20"/>
        <v>-0.57000000000005002</v>
      </c>
      <c r="M88" s="271">
        <v>35.013300000000001</v>
      </c>
      <c r="N88" s="271">
        <v>18.149100000000001</v>
      </c>
      <c r="O88" s="272">
        <f t="shared" si="52"/>
        <v>25.283781054561359</v>
      </c>
      <c r="P88" s="272">
        <f t="shared" si="53"/>
        <v>13.083668619514469</v>
      </c>
      <c r="Q88" s="392">
        <f t="shared" si="54"/>
        <v>12.998816741772963</v>
      </c>
      <c r="R88" s="393">
        <f t="shared" si="55"/>
        <v>24.969433837260194</v>
      </c>
      <c r="S88" s="394">
        <f t="shared" si="56"/>
        <v>-0.18504432430042073</v>
      </c>
      <c r="T88" s="273">
        <f>INDEX(Triple_Standards!$D:$D,MATCH(Triple_Calibrated!A88,Triple_Standards!$D:$D,1))</f>
        <v>11.25</v>
      </c>
      <c r="U88" s="273" cm="1">
        <f t="array" ref="U88">INDEX(Triple_Standards!$D:$D,MATCH(Triple_Calibrated!A88,Triple_Standards!$D:$D,1)+1)</f>
        <v>11.53125</v>
      </c>
      <c r="V88" s="274">
        <f>INDEX(Triple_Standards!$E:$E,MATCH(T88,Triple_Standards!$D:$D,0))</f>
        <v>1.0095157504564427</v>
      </c>
      <c r="W88" s="274">
        <f>INDEX(Triple_Standards!$E:$E,MATCH(U88,Triple_Standards!$D:$D,0))</f>
        <v>1.0096570367794049</v>
      </c>
      <c r="X88" s="274" cm="1">
        <f t="array" ref="X88">TREND(V88:W88,T88:U88,A86,)</f>
        <v>1.0094895863225608</v>
      </c>
      <c r="Y88" s="274">
        <f>INDEX(Triple_Standards!$F:$F,MATCH(T88,Triple_Standards!$D:$D,0))</f>
        <v>1.0049954159265462</v>
      </c>
      <c r="Z88" s="274">
        <f>INDEX(Triple_Standards!$F:$F,MATCH(U88,Triple_Standards!$D:$D,0))</f>
        <v>1.0049705924372183</v>
      </c>
      <c r="AA88" s="274" cm="1">
        <f t="array" ref="AA88">TREND(Y88:Z88,T88:U88,A86,TRUE)</f>
        <v>1.005000012869014</v>
      </c>
    </row>
    <row r="89" spans="1:27" hidden="1" x14ac:dyDescent="0.2">
      <c r="A89" s="142">
        <f t="shared" si="21"/>
        <v>11.395833333333334</v>
      </c>
      <c r="B89" s="100" t="s">
        <v>366</v>
      </c>
      <c r="C89" s="129">
        <v>45245</v>
      </c>
      <c r="D89" s="100" t="s">
        <v>44</v>
      </c>
      <c r="E89" s="138">
        <v>1.127</v>
      </c>
      <c r="F89" s="100">
        <v>519</v>
      </c>
      <c r="G89" s="108">
        <v>0.39583333333333331</v>
      </c>
      <c r="H89" s="140"/>
      <c r="I89" s="140"/>
      <c r="J89" s="103">
        <v>456.9</v>
      </c>
      <c r="K89" s="103">
        <v>456.34</v>
      </c>
      <c r="L89" s="103">
        <f t="shared" si="20"/>
        <v>0.56000000000000227</v>
      </c>
      <c r="M89" s="104">
        <v>31.212800000000001</v>
      </c>
      <c r="N89" s="104">
        <v>16.1736</v>
      </c>
      <c r="O89" s="35">
        <f t="shared" si="52"/>
        <v>21.464999190835329</v>
      </c>
      <c r="P89" s="35">
        <f t="shared" si="53"/>
        <v>11.12743194113159</v>
      </c>
      <c r="Q89" s="36">
        <f t="shared" si="54"/>
        <v>11.065977536552765</v>
      </c>
      <c r="R89" s="37">
        <f t="shared" si="55"/>
        <v>21.237870558149083</v>
      </c>
      <c r="S89" s="135">
        <f t="shared" si="56"/>
        <v>-0.14761811814995163</v>
      </c>
      <c r="T89" s="10">
        <f>INDEX(Triple_Standards!$D:$D,MATCH(Triple_Calibrated!A89,Triple_Standards!$D:$D,1))</f>
        <v>11.25</v>
      </c>
      <c r="U89" s="10" cm="1">
        <f t="array" ref="U89">INDEX(Triple_Standards!$D:$D,MATCH(Triple_Calibrated!A89,Triple_Standards!$D:$D,1)+1)</f>
        <v>11.53125</v>
      </c>
      <c r="V89" s="11">
        <f>INDEX(Triple_Standards!$E:$E,MATCH(T89,Triple_Standards!$D:$D,0))</f>
        <v>1.0095157504564427</v>
      </c>
      <c r="W89" s="11">
        <f>INDEX(Triple_Standards!$E:$E,MATCH(U89,Triple_Standards!$D:$D,0))</f>
        <v>1.0096570367794049</v>
      </c>
      <c r="X89" s="11" cm="1">
        <f t="array" ref="X89">TREND(V89:W89,T89:U89,A87,)</f>
        <v>1.0095429611556799</v>
      </c>
      <c r="Y89" s="11">
        <f>INDEX(Triple_Standards!$F:$F,MATCH(T89,Triple_Standards!$D:$D,0))</f>
        <v>1.0049954159265462</v>
      </c>
      <c r="Z89" s="11">
        <f>INDEX(Triple_Standards!$F:$F,MATCH(U89,Triple_Standards!$D:$D,0))</f>
        <v>1.0049705924372183</v>
      </c>
      <c r="AA89" s="11" cm="1">
        <f t="array" ref="AA89">TREND(Y89:Z89,T89:U89,A87,TRUE)</f>
        <v>1.0049906351063791</v>
      </c>
    </row>
    <row r="90" spans="1:27" s="315" customFormat="1" x14ac:dyDescent="0.2">
      <c r="A90" s="305">
        <f t="shared" si="21"/>
        <v>11.472222222222221</v>
      </c>
      <c r="B90" s="306" t="s">
        <v>388</v>
      </c>
      <c r="C90" s="307">
        <v>45245</v>
      </c>
      <c r="D90" s="306" t="s">
        <v>44</v>
      </c>
      <c r="E90" s="316">
        <v>2.0659999999999998</v>
      </c>
      <c r="F90" s="306">
        <v>770</v>
      </c>
      <c r="G90" s="309">
        <v>0.47222222222222227</v>
      </c>
      <c r="J90" s="310">
        <v>459.19</v>
      </c>
      <c r="K90" s="310">
        <v>456.74</v>
      </c>
      <c r="L90" s="310">
        <f t="shared" si="20"/>
        <v>2.4499999999999886</v>
      </c>
      <c r="M90" s="311">
        <v>35.1935</v>
      </c>
      <c r="N90" s="311">
        <v>18.218599999999999</v>
      </c>
      <c r="O90" s="312">
        <f t="shared" si="52"/>
        <v>25.38078735759359</v>
      </c>
      <c r="P90" s="312">
        <f t="shared" si="53"/>
        <v>13.16703469779543</v>
      </c>
      <c r="Q90" s="410">
        <f t="shared" si="54"/>
        <v>13.081102786823195</v>
      </c>
      <c r="R90" s="411">
        <f t="shared" si="55"/>
        <v>25.064043462450709</v>
      </c>
      <c r="S90" s="412">
        <f t="shared" si="56"/>
        <v>-0.15271216135078092</v>
      </c>
      <c r="T90" s="313">
        <f>INDEX(Triple_Standards!$D:$D,MATCH(Triple_Calibrated!A90,Triple_Standards!$D:$D,1))</f>
        <v>11.25</v>
      </c>
      <c r="U90" s="313" cm="1">
        <f t="array" ref="U90">INDEX(Triple_Standards!$D:$D,MATCH(Triple_Calibrated!A90,Triple_Standards!$D:$D,1)+1)</f>
        <v>11.53125</v>
      </c>
      <c r="V90" s="314">
        <f>INDEX(Triple_Standards!$E:$E,MATCH(T90,Triple_Standards!$D:$D,0))</f>
        <v>1.0095157504564427</v>
      </c>
      <c r="W90" s="314">
        <f>INDEX(Triple_Standards!$E:$E,MATCH(U90,Triple_Standards!$D:$D,0))</f>
        <v>1.0096570367794049</v>
      </c>
      <c r="X90" s="314" cm="1">
        <f t="array" ref="X90">TREND(V90:W90,T90:U90,A88,)</f>
        <v>1.0095698229997987</v>
      </c>
      <c r="Y90" s="314">
        <f>INDEX(Triple_Standards!$F:$F,MATCH(T90,Triple_Standards!$D:$D,0))</f>
        <v>1.0049954159265462</v>
      </c>
      <c r="Z90" s="314">
        <f>INDEX(Triple_Standards!$F:$F,MATCH(U90,Triple_Standards!$D:$D,0))</f>
        <v>1.0049705924372183</v>
      </c>
      <c r="AA90" s="314" cm="1">
        <f t="array" ref="AA90">TREND(Y90:Z90,T90:U90,A88,TRUE)</f>
        <v>1.0049859155787786</v>
      </c>
    </row>
    <row r="91" spans="1:27" ht="17" thickBot="1" x14ac:dyDescent="0.25">
      <c r="Q91" s="342"/>
      <c r="R91" s="345"/>
      <c r="S91" s="343"/>
    </row>
  </sheetData>
  <autoFilter ref="A1:AC90" xr:uid="{7D3BFA7B-AFAE-E54A-85D6-24072A944743}">
    <filterColumn colId="1">
      <filters>
        <filter val="1800B1_11_12_23_NC"/>
        <filter val="1800B3_11_14_23_NC"/>
        <filter val="2210D_1_11_07_23_NC"/>
        <filter val="2210D_2_11_12_23"/>
        <filter val="3670E_1_11_07_23_NC"/>
        <filter val="3670E_2_11_13_23_NC"/>
        <filter val="3670E3_11_15_23_NC"/>
        <filter val="4120C_2_11_12_23_NC"/>
        <filter val="4120C_3_11_10_23_NC"/>
        <filter val="4120C_3_11_12_23_NC"/>
        <filter val="5020A1_11_13_23_NC"/>
        <filter val="5080B_1_11_07_23_NC"/>
        <filter val="5080B_3_11_08_23_NC"/>
        <filter val="5080B2_11_10_23_NC"/>
        <filter val="5080B3_11_10_23_NC"/>
        <filter val="5620A_11_07_23_NC"/>
        <filter val="5620A_3_11_12_23_NC"/>
        <filter val="5620A1 11-10-23 NC"/>
        <filter val="5620A2_11-13-23_NC"/>
        <filter val="6690F_2_11_15_23_NC"/>
        <filter val="6690F1_11_12_23_NC"/>
        <filter val="7170B_1_11_10_23_NC"/>
        <filter val="7170D2_11_11_23_NC"/>
        <filter val="7170D3_11_11_23_NC"/>
        <filter val="7430B_11_12_23_NC"/>
        <filter val="7430B2_11_15_23"/>
        <filter val="7770B1_11_14_23_NC"/>
        <filter val="7810E_1_11_08_23_NC"/>
        <filter val="7810E_2_11_08_23"/>
        <filter val="7810E_3_11_08_23_NC"/>
        <filter val="8170B1_11-15-23_NC"/>
        <filter val="8515A1_11_11_23_NC"/>
        <filter val="8515A2_11_11_23_NC"/>
        <filter val="8515A3 11-13-23 NC"/>
        <filter val="8950E1_11_10_23_NC"/>
        <filter val="8950E2_11_09_23_NC"/>
        <filter val="8950E3_11_09_23_NC"/>
      </filters>
    </filterColumn>
    <sortState xmlns:xlrd2="http://schemas.microsoft.com/office/spreadsheetml/2017/richdata2" ref="A2:AC47">
      <sortCondition ref="A1:A5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17AE-A318-C448-82D9-76BCC36B522C}">
  <dimension ref="A1:L63"/>
  <sheetViews>
    <sheetView topLeftCell="R1" zoomScale="125" workbookViewId="0">
      <selection activeCell="AB46" sqref="AB46"/>
    </sheetView>
  </sheetViews>
  <sheetFormatPr baseColWidth="10" defaultRowHeight="15" x14ac:dyDescent="0.2"/>
  <cols>
    <col min="1" max="1" width="19.83203125" style="165" bestFit="1" customWidth="1"/>
    <col min="2" max="2" width="19.83203125" style="165" customWidth="1"/>
    <col min="3" max="16384" width="10.83203125" style="165"/>
  </cols>
  <sheetData>
    <row r="1" spans="1:12" x14ac:dyDescent="0.2">
      <c r="A1" s="165" t="s">
        <v>389</v>
      </c>
      <c r="B1" s="165" t="s">
        <v>632</v>
      </c>
      <c r="C1" s="165" t="s">
        <v>390</v>
      </c>
      <c r="D1" s="165" t="s">
        <v>395</v>
      </c>
      <c r="E1" s="165" t="s">
        <v>394</v>
      </c>
      <c r="F1" s="165" t="s">
        <v>392</v>
      </c>
      <c r="G1" s="165" t="s">
        <v>393</v>
      </c>
      <c r="H1" s="165" t="s">
        <v>394</v>
      </c>
      <c r="I1" s="165" t="s">
        <v>392</v>
      </c>
      <c r="J1" s="165" t="s">
        <v>391</v>
      </c>
      <c r="K1" s="165" t="s">
        <v>394</v>
      </c>
      <c r="L1" s="165" t="s">
        <v>392</v>
      </c>
    </row>
    <row r="2" spans="1:12" x14ac:dyDescent="0.2">
      <c r="A2" s="165">
        <v>1800</v>
      </c>
      <c r="B2" s="566">
        <v>3.812084375</v>
      </c>
      <c r="C2" s="165">
        <f>AVERAGE(Triple_Calibrated!R52,Triple_Calibrated!R79)</f>
        <v>25.199474735095549</v>
      </c>
      <c r="D2" s="165">
        <f>(C2-30.91)/1.03091</f>
        <v>-5.5393053369396466</v>
      </c>
      <c r="E2" s="165">
        <f>STDEV(Triple_Calibrated!R52,Triple_Calibrated!R79)</f>
        <v>0.31004357364738361</v>
      </c>
      <c r="F2" s="165">
        <f>E2/(SQRT(2))</f>
        <v>0.2192339133893757</v>
      </c>
      <c r="G2" s="165">
        <f>AVERAGE(Triple_Calibrated!S52,Triple_Calibrated!S79)</f>
        <v>-0.10148398555457661</v>
      </c>
      <c r="H2" s="165">
        <f>STDEV(Triple_Calibrated!S52,Triple_Calibrated!S79)</f>
        <v>2.0172950841368777E-3</v>
      </c>
      <c r="I2" s="165">
        <f>H2/(SQRT(2))</f>
        <v>1.4264430336474732E-3</v>
      </c>
      <c r="J2" s="165">
        <f>AVERAGE(Triple_Calibrated!Q52,Triple_Calibrated!Q79)</f>
        <v>13.203838674575874</v>
      </c>
      <c r="K2" s="165">
        <f>STDEV(Triple_Calibrated!Q52,Triple_Calibrated!Q79)</f>
        <v>0.1616857118016822</v>
      </c>
      <c r="L2" s="165">
        <f>K2/(SQRT(2))</f>
        <v>0.11432906323594327</v>
      </c>
    </row>
    <row r="3" spans="1:12" x14ac:dyDescent="0.2">
      <c r="A3" s="165">
        <v>2210</v>
      </c>
      <c r="B3" s="566">
        <v>3.6606406250000001</v>
      </c>
      <c r="C3" s="165">
        <f>AVERAGE(Triple_Calibrated!R7,Triple_Calibrated!R69)</f>
        <v>24.786490437669574</v>
      </c>
      <c r="D3" s="165">
        <f t="shared" ref="D3:D16" si="0">(C3-30.91)/1.03091</f>
        <v>-5.9399070358522339</v>
      </c>
      <c r="E3" s="165">
        <f>STDEV(Triple_Calibrated!R7,Triple_Calibrated!R69)</f>
        <v>0.45565534291679538</v>
      </c>
      <c r="F3" s="165">
        <f>E3/(SQRT(2))</f>
        <v>0.3221969828603477</v>
      </c>
      <c r="G3" s="165">
        <f>AVERAGE(Triple_Calibrated!S7,Triple_Calibrated!S69)</f>
        <v>-0.14523617110539089</v>
      </c>
      <c r="H3" s="165">
        <f>STDEV(Triple_Calibrated!S7,Triple_Calibrated!S69)</f>
        <v>4.2132601013775445E-2</v>
      </c>
      <c r="I3" s="165">
        <f>H3/(SQRT(2))</f>
        <v>2.9792247885867821E-2</v>
      </c>
      <c r="J3" s="165">
        <f>AVERAGE(Triple_Calibrated!Q7,Triple_Calibrated!Q69)</f>
        <v>12.942030779984144</v>
      </c>
      <c r="K3" s="165">
        <f>STDEV(Triple_Calibrated!Q7,Triple_Calibrated!Q69)</f>
        <v>0.19845342004629205</v>
      </c>
      <c r="L3" s="165">
        <f>K3/(SQRT(2))</f>
        <v>0.14032775906439543</v>
      </c>
    </row>
    <row r="4" spans="1:12" x14ac:dyDescent="0.2">
      <c r="A4" s="165">
        <v>3670</v>
      </c>
      <c r="B4" s="566">
        <f>C34</f>
        <v>3.4483498920086393</v>
      </c>
      <c r="C4" s="165">
        <f>AVERAGE(Triple_Calibrated!R5,Triple_Calibrated!R67,Triple_Calibrated!R86)</f>
        <v>23.954316317641837</v>
      </c>
      <c r="D4" s="165">
        <f t="shared" si="0"/>
        <v>-6.7471298972346405</v>
      </c>
      <c r="E4" s="165">
        <f>STDEV(Triple_Calibrated!R5,Triple_Calibrated!R67,Triple_Calibrated!R86)</f>
        <v>0.1959344530729599</v>
      </c>
      <c r="F4" s="165">
        <f>E4/(SQRT(3))</f>
        <v>0.11312280922519551</v>
      </c>
      <c r="G4" s="165">
        <f>AVERAGE(Triple_Calibrated!S5,Triple_Calibrated!S67,Triple_Calibrated!S86)</f>
        <v>-9.2077604860147488E-2</v>
      </c>
      <c r="H4" s="165">
        <f>STDEV(Triple_Calibrated!S5,Triple_Calibrated!S67,Triple_Calibrated!S86)</f>
        <v>2.9450071197729522E-2</v>
      </c>
      <c r="I4" s="165">
        <f>H4/(SQRT(3))</f>
        <v>1.7003006533662785E-2</v>
      </c>
      <c r="J4" s="165">
        <f>AVERAGE(Triple_Calibrated!Q5,Triple_Calibrated!Q67,Triple_Calibrated!Q86)</f>
        <v>12.555801410854741</v>
      </c>
      <c r="K4" s="165">
        <f>STDEV(Triple_Calibrated!Q5,Triple_Calibrated!Q67,Triple_Calibrated!Q86)</f>
        <v>0.10975991141036522</v>
      </c>
      <c r="L4" s="165">
        <f>K4/(SQRT(3))</f>
        <v>6.3369914399003843E-2</v>
      </c>
    </row>
    <row r="5" spans="1:12" x14ac:dyDescent="0.2">
      <c r="A5" s="165">
        <v>4120</v>
      </c>
      <c r="B5" s="566">
        <f>C37</f>
        <v>3.3966436285097195</v>
      </c>
      <c r="C5" s="165">
        <f>AVERAGE(Triple_Calibrated!R35,Triple_Calibrated!R54,Triple_Calibrated!R59)</f>
        <v>24.884827360930288</v>
      </c>
      <c r="D5" s="165">
        <f t="shared" si="0"/>
        <v>-5.8445185700688835</v>
      </c>
      <c r="E5" s="165">
        <f>STDEV( Triple_Calibrated!R35,Triple_Calibrated!R54,Triple_Calibrated!R59)</f>
        <v>0.10314762103373615</v>
      </c>
      <c r="F5" s="165">
        <f>E5/(SQRT(3))</f>
        <v>5.9552306770097076E-2</v>
      </c>
      <c r="G5" s="165">
        <f>AVERAGE(Triple_Calibrated!S35,Triple_Calibrated!S54,Triple_Calibrated!S59)</f>
        <v>-7.6437176003685423E-2</v>
      </c>
      <c r="H5" s="165">
        <f>STDEV( Triple_Calibrated!S35,Triple_Calibrated!S54,Triple_Calibrated!S59)</f>
        <v>2.4540715247657236E-2</v>
      </c>
      <c r="I5" s="165">
        <f>H5/(SQRT(3))</f>
        <v>1.4168588554340859E-2</v>
      </c>
      <c r="J5" s="165">
        <f>AVERAGE(Triple_Calibrated!Q35,Triple_Calibrated!Q54,Triple_Calibrated!Q59)</f>
        <v>13.062751670567506</v>
      </c>
      <c r="K5" s="165">
        <f>STDEV( Triple_Calibrated!Q35,Triple_Calibrated!Q54,Triple_Calibrated!Q59)</f>
        <v>3.2866234019667068E-2</v>
      </c>
      <c r="L5" s="165">
        <f>K5/(SQRT(3))</f>
        <v>1.897532905850402E-2</v>
      </c>
    </row>
    <row r="6" spans="1:12" x14ac:dyDescent="0.2">
      <c r="A6" s="165">
        <v>5020</v>
      </c>
      <c r="B6" s="566">
        <f>C39</f>
        <v>3.2957739130434782</v>
      </c>
      <c r="C6" s="165">
        <f>AVERAGE(Triple_Calibrated!R65)</f>
        <v>24.620926716295124</v>
      </c>
      <c r="D6" s="165">
        <f t="shared" si="0"/>
        <v>-6.1005066239583252</v>
      </c>
      <c r="G6" s="165">
        <f>AVERAGE(Triple_Calibrated!S65)</f>
        <v>-0.11312626393413971</v>
      </c>
      <c r="J6" s="165">
        <f>AVERAGE(Triple_Calibrated!Q65)</f>
        <v>12.886723042269686</v>
      </c>
    </row>
    <row r="7" spans="1:12" x14ac:dyDescent="0.2">
      <c r="A7" s="165">
        <v>5080</v>
      </c>
      <c r="B7" s="566">
        <f>C41</f>
        <v>3.2893565217391303</v>
      </c>
      <c r="C7" s="165">
        <f>AVERAGE(Triple_Calibrated!R17,Triple_Calibrated!R29:R30,)</f>
        <v>18.541157857014024</v>
      </c>
      <c r="D7" s="165">
        <f t="shared" si="0"/>
        <v>-11.997984443827274</v>
      </c>
      <c r="E7" s="165">
        <f>STDEV(Triple_Calibrated!R17,Triple_Calibrated!R29:R30)</f>
        <v>1.9026432248054674</v>
      </c>
      <c r="F7" s="165">
        <f>E7/(SQRT(3))</f>
        <v>1.0984915780132543</v>
      </c>
      <c r="G7" s="165">
        <f>AVERAGE(Triple_Calibrated!S17,Triple_Calibrated!S29:S30,)</f>
        <v>1.0162198398897093E-2</v>
      </c>
      <c r="H7" s="165">
        <f>STDEV(Triple_Calibrated!S17,Triple_Calibrated!S29:S30)</f>
        <v>0.20162528109922162</v>
      </c>
      <c r="I7" s="165">
        <f>H7/(SQRT(3))</f>
        <v>0.11640841031806957</v>
      </c>
      <c r="J7" s="165">
        <f>AVERAGE(Triple_Calibrated!Q17,Triple_Calibrated!Q29:Q30,)</f>
        <v>9.7998935469023039</v>
      </c>
      <c r="K7" s="165">
        <f>STDEV(Triple_Calibrated!Q17,Triple_Calibrated!Q29:Q30)</f>
        <v>0.80464495568773742</v>
      </c>
      <c r="L7" s="165">
        <f>K7/(SQRT(3))</f>
        <v>0.4645619817683897</v>
      </c>
    </row>
    <row r="8" spans="1:12" x14ac:dyDescent="0.2">
      <c r="A8" s="165">
        <v>5620</v>
      </c>
      <c r="B8" s="566">
        <f>C46</f>
        <v>3.2315999999999998</v>
      </c>
      <c r="C8" s="165">
        <f>AVERAGE(Triple_Calibrated!R9,Triple_Calibrated!R37,Triple_Calibrated!R56)</f>
        <v>24.414330866667964</v>
      </c>
      <c r="D8" s="165">
        <f t="shared" si="0"/>
        <v>-6.3009080650416003</v>
      </c>
      <c r="E8" s="165">
        <f>STDEV(Triple_Calibrated!R9,Triple_Calibrated!R37,Triple_Calibrated!R56)</f>
        <v>0.1323313968035657</v>
      </c>
      <c r="F8" s="165">
        <f>E8/(SQRT(3))</f>
        <v>7.640156756677785E-2</v>
      </c>
      <c r="G8" s="165">
        <f>AVERAGE(Triple_Calibrated!S9,Triple_Calibrated!S37,Triple_Calibrated!S56)</f>
        <v>-7.1248097580689063E-2</v>
      </c>
      <c r="H8" s="165">
        <f>STDEV(Triple_Calibrated!S9,Triple_Calibrated!S37,Triple_Calibrated!S56)</f>
        <v>4.3131486610211954E-2</v>
      </c>
      <c r="I8" s="165">
        <f>H8/(SQRT(3))</f>
        <v>2.4901975404954611E-2</v>
      </c>
      <c r="J8" s="165">
        <f>AVERAGE(Triple_Calibrated!Q9,Triple_Calibrated!Q37,Triple_Calibrated!Q56)</f>
        <v>12.819518600019997</v>
      </c>
      <c r="K8" s="165">
        <f>STDEV(Triple_Calibrated!Q9,Triple_Calibrated!Q37,Triple_Calibrated!Q56)</f>
        <v>0.10709284632241417</v>
      </c>
      <c r="L8" s="165">
        <f>K8/(SQRT(3))</f>
        <v>6.1830083652529046E-2</v>
      </c>
    </row>
    <row r="9" spans="1:12" x14ac:dyDescent="0.2">
      <c r="A9" s="165">
        <v>6690</v>
      </c>
      <c r="B9" s="566">
        <f>C48</f>
        <v>3.1191379310344827</v>
      </c>
      <c r="C9" s="165">
        <f>AVERAGE(Triple_Calibrated!R50,Triple_Calibrated!R88)</f>
        <v>24.715885618770479</v>
      </c>
      <c r="D9" s="165">
        <f t="shared" si="0"/>
        <v>-6.0083948950243196</v>
      </c>
      <c r="E9" s="165">
        <f>STDEV(Triple_Calibrated!R50,Triple_Calibrated!R88)</f>
        <v>0.35857132930369245</v>
      </c>
      <c r="F9" s="165">
        <f>E9/(SQRT(2))</f>
        <v>0.25354821848971554</v>
      </c>
      <c r="G9" s="165">
        <f>AVERAGE(Triple_Calibrated!S50,Triple_Calibrated!S88)</f>
        <v>-0.15665622144722668</v>
      </c>
      <c r="H9" s="165">
        <f>STDEV(Triple_Calibrated!S50,Triple_Calibrated!S88)</f>
        <v>4.0146840065029367E-2</v>
      </c>
      <c r="I9" s="165">
        <f>H9/(SQRT(2))</f>
        <v>2.8388102853194038E-2</v>
      </c>
      <c r="J9" s="165">
        <f>AVERAGE(Triple_Calibrated!Q50,Triple_Calibrated!Q88)</f>
        <v>12.893331385263586</v>
      </c>
      <c r="K9" s="165">
        <f>STDEV(Triple_Calibrated!Q50,Triple_Calibrated!Q88)</f>
        <v>0.14917882180732006</v>
      </c>
      <c r="L9" s="165">
        <f>K9/(SQRT(2))</f>
        <v>0.10548535650937563</v>
      </c>
    </row>
    <row r="10" spans="1:12" x14ac:dyDescent="0.2">
      <c r="A10" s="165">
        <v>7170</v>
      </c>
      <c r="B10" s="566">
        <f>C49</f>
        <v>2.9851653846153847</v>
      </c>
      <c r="C10" s="165">
        <f>AVERAGE(Triple_Calibrated!R32,Triple_Calibrated!R42:R44)</f>
        <v>24.111395230679697</v>
      </c>
      <c r="D10" s="165">
        <f t="shared" si="0"/>
        <v>-6.5947607156010735</v>
      </c>
      <c r="E10" s="165">
        <f>STDEV(Triple_Calibrated!R32,Triple_Calibrated!R42:R44)</f>
        <v>2.9030686407978754</v>
      </c>
      <c r="F10" s="165">
        <f>E10/(SQRT(3))</f>
        <v>1.6760874612406145</v>
      </c>
      <c r="G10" s="165">
        <f>AVERAGE(Triple_Calibrated!S32,Triple_Calibrated!S42:S44)</f>
        <v>-5.9911245870401419E-2</v>
      </c>
      <c r="H10" s="165">
        <f>STDEV(Triple_Calibrated!S32,Triple_Calibrated!S42:S44)</f>
        <v>2.0272241501019927E-2</v>
      </c>
      <c r="I10" s="165">
        <f>H10/(SQRT(3))</f>
        <v>1.1704184087690958E-2</v>
      </c>
      <c r="J10" s="165">
        <f>AVERAGE(Triple_Calibrated!Q32,Triple_Calibrated!Q42:Q44)</f>
        <v>12.670905435928482</v>
      </c>
      <c r="K10" s="165">
        <f>STDEV(Triple_Calibrated!Q32,Triple_Calibrated!Q42:Q44)</f>
        <v>1.5497667130925388</v>
      </c>
      <c r="L10" s="165">
        <f>K10/(SQRT(3))</f>
        <v>0.89475822898509882</v>
      </c>
    </row>
    <row r="11" spans="1:12" x14ac:dyDescent="0.2">
      <c r="A11" s="165">
        <v>7430</v>
      </c>
      <c r="B11" s="566">
        <f>C51</f>
        <v>2.9400653846153846</v>
      </c>
      <c r="C11" s="165">
        <f>AVERAGE(Triple_Calibrated!R61,Triple_Calibrated!R90)</f>
        <v>24.973697536167187</v>
      </c>
      <c r="D11" s="165">
        <f t="shared" si="0"/>
        <v>-5.7583130087328804</v>
      </c>
      <c r="E11" s="165">
        <f>STDEV(Triple_Calibrated!R61,Triple_Calibrated!R90)</f>
        <v>0.1277684342553192</v>
      </c>
      <c r="F11" s="165">
        <f>E11/(SQRT(2))</f>
        <v>9.0345926283523767E-2</v>
      </c>
      <c r="G11" s="165">
        <f>AVERAGE(Triple_Calibrated!S61,Triple_Calibrated!S90)</f>
        <v>-0.14900033753449282</v>
      </c>
      <c r="H11" s="165">
        <f>STDEV(Triple_Calibrated!S61,Triple_Calibrated!S90)</f>
        <v>5.2493115821340844E-3</v>
      </c>
      <c r="I11" s="165">
        <f>H11/(SQRT(2))</f>
        <v>3.7118238162880952E-3</v>
      </c>
      <c r="J11" s="165">
        <f>AVERAGE(Triple_Calibrated!Q61,Triple_Calibrated!Q90)</f>
        <v>13.037111961561781</v>
      </c>
      <c r="K11" s="165">
        <f>STDEV(Triple_Calibrated!Q61,Triple_Calibrated!Q90)</f>
        <v>6.2212421704675162E-2</v>
      </c>
      <c r="L11" s="165">
        <f>K11/(SQRT(2))</f>
        <v>4.3990825261412958E-2</v>
      </c>
    </row>
    <row r="12" spans="1:12" x14ac:dyDescent="0.2">
      <c r="A12" s="165">
        <v>7770</v>
      </c>
      <c r="B12" s="566">
        <f>C53</f>
        <v>2.8810884615384618</v>
      </c>
      <c r="C12" s="165">
        <f>AVERAGE(Triple_Calibrated!R82)</f>
        <v>23.990494427848585</v>
      </c>
      <c r="D12" s="165">
        <f t="shared" si="0"/>
        <v>-6.7120365232187247</v>
      </c>
      <c r="G12" s="165">
        <f>AVERAGE(Triple_Calibrated!S82)</f>
        <v>-0.10575728840298027</v>
      </c>
      <c r="J12" s="165">
        <f>AVERAGE(Triple_Calibrated!Q82)</f>
        <v>12.561223769501073</v>
      </c>
    </row>
    <row r="13" spans="1:12" x14ac:dyDescent="0.2">
      <c r="A13" s="165">
        <v>7810</v>
      </c>
      <c r="B13" s="566">
        <f>C55</f>
        <v>2.8741500000000002</v>
      </c>
      <c r="C13" s="165">
        <f>AVERAGE(Triple_Calibrated!R12:R15)</f>
        <v>23.698443162672987</v>
      </c>
      <c r="D13" s="165">
        <f t="shared" si="0"/>
        <v>-6.9953311514361225</v>
      </c>
      <c r="E13" s="165">
        <f>STDEV(Triple_Calibrated!R12:R15)</f>
        <v>1.5938880570945018</v>
      </c>
      <c r="F13" s="165">
        <f>E13/(SQRT(2))</f>
        <v>1.1270490536237732</v>
      </c>
      <c r="G13" s="165">
        <f>AVERAGE(Triple_Calibrated!S12:S15)</f>
        <v>-8.8486929756288912E-2</v>
      </c>
      <c r="H13" s="165">
        <f>STDEV(Triple_Calibrated!S12:S15)</f>
        <v>5.3697781532370897E-2</v>
      </c>
      <c r="I13" s="165">
        <f>H13/(SQRT(2))</f>
        <v>3.7970065456213217E-2</v>
      </c>
      <c r="J13" s="165">
        <f>AVERAGE(Triple_Calibrated!Q12:Q15)</f>
        <v>12.424291060135047</v>
      </c>
      <c r="K13" s="165">
        <f>STDEV(Triple_Calibrated!Q12:Q15)</f>
        <v>0.89009488593284025</v>
      </c>
      <c r="L13" s="165">
        <f>K13/(SQRT(2))</f>
        <v>0.62939212974257785</v>
      </c>
    </row>
    <row r="14" spans="1:12" x14ac:dyDescent="0.2">
      <c r="A14" s="165">
        <v>8170</v>
      </c>
      <c r="B14" s="566">
        <f>C57</f>
        <v>2.8117038461538462</v>
      </c>
      <c r="C14" s="165">
        <f>AVERAGE(Triple_Calibrated!R84)</f>
        <v>25.279861641656595</v>
      </c>
      <c r="D14" s="165">
        <f t="shared" si="0"/>
        <v>-5.4613286885794157</v>
      </c>
      <c r="G14" s="165">
        <f>AVERAGE(Triple_Calibrated!S84)</f>
        <v>-8.9660979774365046E-2</v>
      </c>
      <c r="J14" s="165">
        <f>AVERAGE(Triple_Calibrated!Q84)</f>
        <v>13.258105967020319</v>
      </c>
    </row>
    <row r="15" spans="1:12" x14ac:dyDescent="0.2">
      <c r="A15" s="165">
        <v>8515</v>
      </c>
      <c r="B15" s="566">
        <f>C60</f>
        <v>2.7518596153846153</v>
      </c>
      <c r="C15" s="165">
        <f>AVERAGE(Triple_Calibrated!R46:R48,Triple_Calibrated!R73)</f>
        <v>24.527314376657543</v>
      </c>
      <c r="D15" s="165">
        <f t="shared" si="0"/>
        <v>-6.1913121643426265</v>
      </c>
      <c r="E15" s="165">
        <f>STDEV(Triple_Calibrated!R46:R48,Triple_Calibrated!R73)</f>
        <v>2.4662426335799732</v>
      </c>
      <c r="F15" s="165">
        <f>E15/(SQRT(3))</f>
        <v>1.4238858483843291</v>
      </c>
      <c r="G15" s="165">
        <f>AVERAGE(Triple_Calibrated!S46:S48,Triple_Calibrated!S73)</f>
        <v>-8.2966029861732515E-2</v>
      </c>
      <c r="H15" s="165">
        <f>STDEV(Triple_Calibrated!S46:S48,Triple_Calibrated!S73)</f>
        <v>2.600130153519039E-2</v>
      </c>
      <c r="I15" s="165">
        <f>H15/(SQRT(3))</f>
        <v>1.5011858440622802E-2</v>
      </c>
      <c r="J15" s="165">
        <f>AVERAGE(Triple_Calibrated!Q46:Q48,Triple_Calibrated!Q73)</f>
        <v>12.867455961013452</v>
      </c>
      <c r="K15" s="165">
        <f>STDEV(Triple_Calibrated!Q46:Q48,Triple_Calibrated!Q73)</f>
        <v>1.317870045362926</v>
      </c>
      <c r="L15" s="165">
        <f>K15/(SQRT(3))</f>
        <v>0.76087262544722967</v>
      </c>
    </row>
    <row r="16" spans="1:12" x14ac:dyDescent="0.2">
      <c r="A16" s="165">
        <v>8950</v>
      </c>
      <c r="B16" s="566">
        <f>C63</f>
        <v>2.6764038461538462</v>
      </c>
      <c r="C16" s="165">
        <f>AVERAGE(Triple_Calibrated!R26:R28)</f>
        <v>24.492440034999035</v>
      </c>
      <c r="D16" s="165">
        <f t="shared" si="0"/>
        <v>-6.2251408609878309</v>
      </c>
      <c r="E16" s="165">
        <f>STDEV(Triple_Calibrated!R26:R28)</f>
        <v>0.39232025593330461</v>
      </c>
      <c r="F16" s="165">
        <f>E16/(SQRT(2))</f>
        <v>0.2774123133672815</v>
      </c>
      <c r="G16" s="165">
        <f>AVERAGE(Triple_Calibrated!S26:S28)</f>
        <v>-8.6958902534765528E-2</v>
      </c>
      <c r="H16" s="165">
        <f>STDEV(Triple_Calibrated!S26:S28)</f>
        <v>3.5167482728090289E-2</v>
      </c>
      <c r="I16" s="165">
        <f>H16/(SQRT(2))</f>
        <v>2.4867165514293427E-2</v>
      </c>
      <c r="J16" s="165">
        <f>AVERAGE(Triple_Calibrated!Q26:Q28)</f>
        <v>12.845049435944725</v>
      </c>
      <c r="K16" s="165">
        <f>STDEV(Triple_Calibrated!Q26:Q28)</f>
        <v>0.17562941713581484</v>
      </c>
      <c r="L16" s="165">
        <f>K16/(SQRT(2))</f>
        <v>0.12418875183257549</v>
      </c>
    </row>
    <row r="19" spans="1:4" x14ac:dyDescent="0.2">
      <c r="A19" s="568" t="s">
        <v>414</v>
      </c>
      <c r="B19" s="568"/>
      <c r="C19" s="568"/>
      <c r="D19" s="568"/>
    </row>
    <row r="20" spans="1:4" x14ac:dyDescent="0.2">
      <c r="A20" s="165" t="s">
        <v>411</v>
      </c>
      <c r="C20" s="165" t="s">
        <v>412</v>
      </c>
      <c r="D20" s="165" t="s">
        <v>413</v>
      </c>
    </row>
    <row r="21" spans="1:4" x14ac:dyDescent="0.2">
      <c r="A21" s="165">
        <v>1400</v>
      </c>
      <c r="C21" s="165">
        <v>3.9598343750000002</v>
      </c>
      <c r="D21" s="165">
        <v>-5.6341197112937511</v>
      </c>
    </row>
    <row r="22" spans="1:4" x14ac:dyDescent="0.2">
      <c r="A22" s="165">
        <v>1530</v>
      </c>
      <c r="C22" s="165">
        <v>3.911815625</v>
      </c>
      <c r="D22" s="165">
        <v>-6.1207700676048713</v>
      </c>
    </row>
    <row r="23" spans="1:4" x14ac:dyDescent="0.2">
      <c r="A23" s="165">
        <v>1600</v>
      </c>
      <c r="C23" s="165">
        <v>3.8859593750000001</v>
      </c>
    </row>
    <row r="24" spans="1:4" x14ac:dyDescent="0.2">
      <c r="A24" s="165">
        <v>1630</v>
      </c>
      <c r="C24" s="165">
        <v>3.8748781250000004</v>
      </c>
      <c r="D24" s="165">
        <v>-5.9770460676086303</v>
      </c>
    </row>
    <row r="25" spans="1:4" x14ac:dyDescent="0.2">
      <c r="A25" s="165">
        <v>1660</v>
      </c>
      <c r="C25" s="165">
        <v>3.8637968750000002</v>
      </c>
      <c r="D25" s="165">
        <v>-5.3154240103900179</v>
      </c>
    </row>
    <row r="26" spans="1:4" x14ac:dyDescent="0.2">
      <c r="A26" s="165">
        <v>1750</v>
      </c>
      <c r="C26" s="165">
        <v>3.8305531250000002</v>
      </c>
      <c r="D26" s="165">
        <v>-5.3938098606121132</v>
      </c>
    </row>
    <row r="27" spans="1:4" x14ac:dyDescent="0.2">
      <c r="A27" s="165">
        <v>1800</v>
      </c>
      <c r="C27" s="165">
        <v>3.812084375</v>
      </c>
      <c r="D27" s="165">
        <v>-6.0964527061163025</v>
      </c>
    </row>
    <row r="28" spans="1:4" x14ac:dyDescent="0.2">
      <c r="A28" s="165">
        <v>1850</v>
      </c>
      <c r="C28" s="165">
        <v>3.7936156250000002</v>
      </c>
      <c r="D28" s="165">
        <v>-5.1287225490471151</v>
      </c>
    </row>
    <row r="29" spans="1:4" x14ac:dyDescent="0.2">
      <c r="A29" s="165">
        <v>2020</v>
      </c>
      <c r="C29" s="165">
        <v>3.7308218750000002</v>
      </c>
      <c r="D29" s="165">
        <v>-5.8153775524083722</v>
      </c>
    </row>
    <row r="30" spans="1:4" x14ac:dyDescent="0.2">
      <c r="A30" s="165">
        <v>2210</v>
      </c>
      <c r="C30" s="165">
        <v>3.6606406250000001</v>
      </c>
      <c r="D30" s="165">
        <v>-5.8769222089864259</v>
      </c>
    </row>
    <row r="31" spans="1:4" x14ac:dyDescent="0.2">
      <c r="A31" s="165">
        <v>2550</v>
      </c>
      <c r="C31" s="165">
        <v>3.5770410367170626</v>
      </c>
      <c r="D31" s="165">
        <v>-4.9955435671037431</v>
      </c>
    </row>
    <row r="32" spans="1:4" x14ac:dyDescent="0.2">
      <c r="A32" s="165">
        <v>3280</v>
      </c>
      <c r="C32" s="165">
        <v>3.4931619870410366</v>
      </c>
      <c r="D32" s="165">
        <v>-5.6447951453113889</v>
      </c>
    </row>
    <row r="33" spans="1:4" x14ac:dyDescent="0.2">
      <c r="A33" s="165">
        <v>3450</v>
      </c>
      <c r="C33" s="165">
        <v>3.4736285097192225</v>
      </c>
      <c r="D33" s="165">
        <v>-6.1800768774603441</v>
      </c>
    </row>
    <row r="34" spans="1:4" x14ac:dyDescent="0.2">
      <c r="A34" s="165">
        <v>3670</v>
      </c>
      <c r="C34" s="165">
        <v>3.4483498920086393</v>
      </c>
      <c r="D34" s="165">
        <v>-6.3563824488304048</v>
      </c>
    </row>
    <row r="35" spans="1:4" x14ac:dyDescent="0.2">
      <c r="A35" s="165">
        <v>3820</v>
      </c>
      <c r="C35" s="165">
        <v>3.4311144708423327</v>
      </c>
      <c r="D35" s="165">
        <v>-6.3356143481518625</v>
      </c>
    </row>
    <row r="36" spans="1:4" x14ac:dyDescent="0.2">
      <c r="A36" s="165">
        <v>3995</v>
      </c>
      <c r="C36" s="165">
        <v>3.4110064794816415</v>
      </c>
      <c r="D36" s="165">
        <v>-5.6165101798409696</v>
      </c>
    </row>
    <row r="37" spans="1:4" x14ac:dyDescent="0.2">
      <c r="A37" s="165">
        <v>4120</v>
      </c>
      <c r="C37" s="165">
        <v>3.3966436285097195</v>
      </c>
      <c r="D37" s="165">
        <v>-5.7480646369819777</v>
      </c>
    </row>
    <row r="38" spans="1:4" x14ac:dyDescent="0.2">
      <c r="A38" s="165">
        <v>4350</v>
      </c>
      <c r="C38" s="165">
        <v>3.3702159827213825</v>
      </c>
      <c r="D38" s="165">
        <v>-5.1447417743551851</v>
      </c>
    </row>
    <row r="39" spans="1:4" x14ac:dyDescent="0.2">
      <c r="A39" s="165">
        <v>5020</v>
      </c>
      <c r="C39" s="165">
        <v>3.2957739130434782</v>
      </c>
      <c r="D39" s="165">
        <v>-5.2232716704822924</v>
      </c>
    </row>
    <row r="40" spans="1:4" x14ac:dyDescent="0.2">
      <c r="A40" s="165">
        <v>5050</v>
      </c>
      <c r="C40" s="165">
        <v>3.2925652173913043</v>
      </c>
      <c r="D40" s="165">
        <v>-6.7170662012171141</v>
      </c>
    </row>
    <row r="41" spans="1:4" x14ac:dyDescent="0.2">
      <c r="A41" s="165">
        <v>5080</v>
      </c>
      <c r="C41" s="165">
        <v>3.2893565217391303</v>
      </c>
      <c r="D41" s="165">
        <v>-6.0040881592706619</v>
      </c>
    </row>
    <row r="42" spans="1:4" x14ac:dyDescent="0.2">
      <c r="A42" s="165">
        <v>5100</v>
      </c>
      <c r="C42" s="165">
        <v>3.2872173913043476</v>
      </c>
      <c r="D42" s="165">
        <v>-5.9305125981901972</v>
      </c>
    </row>
    <row r="43" spans="1:4" x14ac:dyDescent="0.2">
      <c r="A43" s="165">
        <v>5130</v>
      </c>
      <c r="C43" s="165">
        <v>3.2840086956521741</v>
      </c>
      <c r="D43" s="165">
        <v>-7</v>
      </c>
    </row>
    <row r="44" spans="1:4" x14ac:dyDescent="0.2">
      <c r="A44" s="165">
        <v>5365</v>
      </c>
      <c r="C44" s="165">
        <v>3.2588739130434781</v>
      </c>
      <c r="D44" s="165">
        <v>-5.4981528435324831</v>
      </c>
    </row>
    <row r="45" spans="1:4" x14ac:dyDescent="0.2">
      <c r="A45" s="165">
        <v>5515</v>
      </c>
      <c r="C45" s="165">
        <v>3.2428304347826087</v>
      </c>
      <c r="D45" s="165">
        <v>-5.7837988593708589</v>
      </c>
    </row>
    <row r="46" spans="1:4" x14ac:dyDescent="0.2">
      <c r="A46" s="165">
        <v>5620</v>
      </c>
      <c r="C46" s="165">
        <v>3.2315999999999998</v>
      </c>
      <c r="D46" s="165">
        <v>-5.8836295337331528</v>
      </c>
    </row>
    <row r="47" spans="1:4" x14ac:dyDescent="0.2">
      <c r="A47" s="165">
        <v>5740</v>
      </c>
      <c r="C47" s="165">
        <v>3.2187652173913044</v>
      </c>
      <c r="D47" s="165">
        <v>-5.1405140485151852</v>
      </c>
    </row>
    <row r="48" spans="1:4" x14ac:dyDescent="0.2">
      <c r="A48" s="165">
        <v>6690</v>
      </c>
      <c r="C48" s="165">
        <v>3.1191379310344827</v>
      </c>
      <c r="D48" s="165">
        <v>-4.8761036869728089</v>
      </c>
    </row>
    <row r="49" spans="1:4" x14ac:dyDescent="0.2">
      <c r="A49" s="165">
        <v>7170</v>
      </c>
      <c r="C49" s="165">
        <v>2.9851653846153847</v>
      </c>
      <c r="D49" s="165">
        <v>-5.1607665130674434</v>
      </c>
    </row>
    <row r="50" spans="1:4" x14ac:dyDescent="0.2">
      <c r="A50" s="165">
        <v>7265</v>
      </c>
      <c r="C50" s="165">
        <v>2.9686865384615384</v>
      </c>
      <c r="D50" s="165">
        <v>-5.0999526684461198</v>
      </c>
    </row>
    <row r="51" spans="1:4" x14ac:dyDescent="0.2">
      <c r="A51" s="165">
        <v>7430</v>
      </c>
      <c r="C51" s="165">
        <v>2.9400653846153846</v>
      </c>
      <c r="D51" s="165">
        <v>-5.4116261361212334</v>
      </c>
    </row>
    <row r="52" spans="1:4" x14ac:dyDescent="0.2">
      <c r="A52" s="165">
        <v>7750</v>
      </c>
      <c r="C52" s="165">
        <v>2.8845576923076921</v>
      </c>
      <c r="D52" s="165">
        <v>-6.2616653366229302</v>
      </c>
    </row>
    <row r="53" spans="1:4" x14ac:dyDescent="0.2">
      <c r="A53" s="165">
        <v>7770</v>
      </c>
      <c r="C53" s="165">
        <v>2.8810884615384618</v>
      </c>
      <c r="D53" s="165">
        <v>-5.8926196651717149</v>
      </c>
    </row>
    <row r="54" spans="1:4" x14ac:dyDescent="0.2">
      <c r="A54" s="165">
        <v>7790</v>
      </c>
      <c r="C54" s="165">
        <v>2.8776192307692305</v>
      </c>
      <c r="D54" s="165">
        <v>-5.4942148201072172</v>
      </c>
    </row>
    <row r="55" spans="1:4" x14ac:dyDescent="0.2">
      <c r="A55" s="165">
        <v>7810</v>
      </c>
      <c r="C55" s="165">
        <v>2.8741500000000002</v>
      </c>
      <c r="D55" s="165">
        <v>-6.6560082688373488</v>
      </c>
    </row>
    <row r="56" spans="1:4" x14ac:dyDescent="0.2">
      <c r="A56" s="165">
        <v>8025</v>
      </c>
      <c r="C56" s="165">
        <v>2.8368557692307692</v>
      </c>
      <c r="D56" s="165">
        <v>-5.6239281754816703</v>
      </c>
    </row>
    <row r="57" spans="1:4" x14ac:dyDescent="0.2">
      <c r="A57" s="165">
        <v>8170</v>
      </c>
      <c r="C57" s="165">
        <v>2.8117038461538462</v>
      </c>
      <c r="D57" s="165">
        <v>-5.5590731964424265</v>
      </c>
    </row>
    <row r="58" spans="1:4" x14ac:dyDescent="0.2">
      <c r="A58" s="165">
        <v>8330</v>
      </c>
      <c r="C58" s="165">
        <v>2.7839499999999999</v>
      </c>
      <c r="D58" s="165">
        <v>-5.689684679006608</v>
      </c>
    </row>
    <row r="59" spans="1:4" x14ac:dyDescent="0.2">
      <c r="A59" s="165">
        <v>8460</v>
      </c>
      <c r="C59" s="165">
        <v>2.7614000000000001</v>
      </c>
      <c r="D59" s="165">
        <v>-5.1095738831724011</v>
      </c>
    </row>
    <row r="60" spans="1:4" x14ac:dyDescent="0.2">
      <c r="A60" s="165">
        <v>8515</v>
      </c>
      <c r="C60" s="165">
        <v>2.7518596153846153</v>
      </c>
      <c r="D60" s="165">
        <v>-4.7667421335659217</v>
      </c>
    </row>
    <row r="61" spans="1:4" x14ac:dyDescent="0.2">
      <c r="A61" s="165">
        <v>8620</v>
      </c>
      <c r="C61" s="165">
        <v>2.7336461538461538</v>
      </c>
      <c r="D61" s="165">
        <v>-5.1802586635931016</v>
      </c>
    </row>
    <row r="62" spans="1:4" x14ac:dyDescent="0.2">
      <c r="A62" s="165">
        <v>8625</v>
      </c>
      <c r="C62" s="165">
        <v>2.7327788461538463</v>
      </c>
      <c r="D62" s="165">
        <v>-5.993925582765649</v>
      </c>
    </row>
    <row r="63" spans="1:4" x14ac:dyDescent="0.2">
      <c r="A63" s="165">
        <v>8950</v>
      </c>
      <c r="C63" s="165">
        <v>2.6764038461538462</v>
      </c>
      <c r="D63" s="165">
        <v>-5.9944826898965804</v>
      </c>
    </row>
  </sheetData>
  <sortState xmlns:xlrd2="http://schemas.microsoft.com/office/spreadsheetml/2017/richdata2" ref="A2:A90">
    <sortCondition ref="A2:A90"/>
  </sortState>
  <mergeCells count="1">
    <mergeCell ref="A19:D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CB01-C4F0-D84C-9C00-CD3CF9DDEB16}">
  <dimension ref="A1:DX163"/>
  <sheetViews>
    <sheetView topLeftCell="A133" zoomScale="94" workbookViewId="0">
      <selection activeCell="DU28" sqref="DU28"/>
    </sheetView>
  </sheetViews>
  <sheetFormatPr baseColWidth="10" defaultRowHeight="16" x14ac:dyDescent="0.2"/>
  <cols>
    <col min="1" max="1" width="11.1640625" style="422" bestFit="1" customWidth="1"/>
    <col min="2" max="2" width="12.5" style="422" bestFit="1" customWidth="1"/>
    <col min="3" max="3" width="11" style="422" bestFit="1" customWidth="1"/>
    <col min="4" max="4" width="10.83203125" style="422"/>
    <col min="5" max="5" width="11.1640625" style="422" bestFit="1" customWidth="1"/>
    <col min="6" max="6" width="10.83203125" style="422"/>
    <col min="7" max="91" width="11.1640625" style="422" bestFit="1" customWidth="1"/>
    <col min="92" max="92" width="13" style="422" bestFit="1" customWidth="1"/>
    <col min="93" max="93" width="11.1640625" style="422" bestFit="1" customWidth="1"/>
    <col min="94" max="95" width="10.83203125" style="422"/>
    <col min="96" max="96" width="11" style="422" bestFit="1" customWidth="1"/>
    <col min="97" max="118" width="11.1640625" style="422" bestFit="1" customWidth="1"/>
    <col min="119" max="119" width="11" style="422" bestFit="1" customWidth="1"/>
    <col min="120" max="123" width="11.1640625" style="422" bestFit="1" customWidth="1"/>
    <col min="124" max="125" width="10.83203125" style="422"/>
    <col min="126" max="126" width="42.1640625" style="422" customWidth="1"/>
    <col min="127" max="16384" width="10.83203125" style="422"/>
  </cols>
  <sheetData>
    <row r="1" spans="1:126" x14ac:dyDescent="0.2">
      <c r="A1" s="422" t="s">
        <v>608</v>
      </c>
      <c r="B1" s="422" t="s">
        <v>108</v>
      </c>
      <c r="C1" s="422" t="s">
        <v>607</v>
      </c>
      <c r="D1" s="422" t="s">
        <v>606</v>
      </c>
      <c r="E1" s="422" t="s">
        <v>605</v>
      </c>
      <c r="F1" s="422" t="s">
        <v>604</v>
      </c>
      <c r="G1" s="422" t="s">
        <v>603</v>
      </c>
      <c r="H1" s="422" t="s">
        <v>602</v>
      </c>
      <c r="I1" s="422" t="s">
        <v>601</v>
      </c>
      <c r="J1" s="422" t="s">
        <v>600</v>
      </c>
      <c r="K1" s="422" t="s">
        <v>599</v>
      </c>
      <c r="L1" s="422" t="s">
        <v>598</v>
      </c>
      <c r="M1" s="422" t="s">
        <v>597</v>
      </c>
      <c r="N1" s="422" t="s">
        <v>596</v>
      </c>
      <c r="O1" s="422" t="s">
        <v>595</v>
      </c>
      <c r="P1" s="422" t="s">
        <v>594</v>
      </c>
      <c r="Q1" s="422" t="s">
        <v>593</v>
      </c>
      <c r="R1" s="422" t="s">
        <v>592</v>
      </c>
      <c r="S1" s="422" t="s">
        <v>591</v>
      </c>
      <c r="T1" s="422" t="s">
        <v>590</v>
      </c>
      <c r="U1" s="422" t="s">
        <v>589</v>
      </c>
      <c r="V1" s="422" t="s">
        <v>588</v>
      </c>
      <c r="W1" s="422" t="s">
        <v>587</v>
      </c>
      <c r="X1" s="422" t="s">
        <v>586</v>
      </c>
      <c r="Y1" s="422" t="s">
        <v>585</v>
      </c>
      <c r="Z1" s="422" t="s">
        <v>584</v>
      </c>
      <c r="AA1" s="422" t="s">
        <v>583</v>
      </c>
      <c r="AB1" s="422" t="s">
        <v>582</v>
      </c>
      <c r="AC1" s="422" t="s">
        <v>581</v>
      </c>
      <c r="AD1" s="422" t="s">
        <v>580</v>
      </c>
      <c r="AE1" s="422" t="s">
        <v>579</v>
      </c>
      <c r="AF1" s="422" t="s">
        <v>578</v>
      </c>
      <c r="AG1" s="422" t="s">
        <v>577</v>
      </c>
      <c r="AH1" s="422" t="s">
        <v>576</v>
      </c>
      <c r="AI1" s="422" t="s">
        <v>575</v>
      </c>
      <c r="AJ1" s="422" t="s">
        <v>574</v>
      </c>
      <c r="AK1" s="422" t="s">
        <v>573</v>
      </c>
      <c r="AL1" s="422" t="s">
        <v>572</v>
      </c>
      <c r="AM1" s="422" t="s">
        <v>571</v>
      </c>
      <c r="AN1" s="422" t="s">
        <v>570</v>
      </c>
      <c r="AO1" s="422" t="s">
        <v>569</v>
      </c>
      <c r="AP1" s="422" t="s">
        <v>568</v>
      </c>
      <c r="AQ1" s="422" t="s">
        <v>567</v>
      </c>
      <c r="AR1" s="422" t="s">
        <v>566</v>
      </c>
      <c r="AS1" s="422" t="s">
        <v>565</v>
      </c>
      <c r="AT1" s="422" t="s">
        <v>564</v>
      </c>
      <c r="AU1" s="422" t="s">
        <v>563</v>
      </c>
      <c r="AV1" s="422" t="s">
        <v>562</v>
      </c>
      <c r="AW1" s="422" t="s">
        <v>561</v>
      </c>
      <c r="AX1" s="422" t="s">
        <v>560</v>
      </c>
      <c r="AY1" s="422" t="s">
        <v>559</v>
      </c>
      <c r="AZ1" s="422" t="s">
        <v>558</v>
      </c>
      <c r="BA1" s="422" t="s">
        <v>557</v>
      </c>
      <c r="BB1" s="422" t="s">
        <v>556</v>
      </c>
      <c r="BC1" s="422" t="s">
        <v>555</v>
      </c>
      <c r="BD1" s="422" t="s">
        <v>554</v>
      </c>
      <c r="BE1" s="422" t="s">
        <v>553</v>
      </c>
      <c r="BF1" s="422" t="s">
        <v>552</v>
      </c>
      <c r="BG1" s="422" t="s">
        <v>551</v>
      </c>
      <c r="BH1" s="422" t="s">
        <v>550</v>
      </c>
      <c r="BI1" s="422" t="s">
        <v>549</v>
      </c>
      <c r="BJ1" s="422" t="s">
        <v>548</v>
      </c>
      <c r="BK1" s="422" t="s">
        <v>547</v>
      </c>
      <c r="BL1" s="422" t="s">
        <v>546</v>
      </c>
      <c r="BM1" s="422" t="s">
        <v>545</v>
      </c>
      <c r="BN1" s="422" t="s">
        <v>544</v>
      </c>
      <c r="BO1" s="422" t="s">
        <v>543</v>
      </c>
      <c r="BP1" s="422" t="s">
        <v>542</v>
      </c>
      <c r="BQ1" s="422" t="s">
        <v>541</v>
      </c>
      <c r="BR1" s="422" t="s">
        <v>540</v>
      </c>
      <c r="BS1" s="422" t="s">
        <v>539</v>
      </c>
      <c r="BT1" s="422" t="s">
        <v>538</v>
      </c>
      <c r="BU1" s="422" t="s">
        <v>537</v>
      </c>
      <c r="BV1" s="422" t="s">
        <v>536</v>
      </c>
      <c r="BW1" s="422" t="s">
        <v>535</v>
      </c>
      <c r="BX1" s="422" t="s">
        <v>534</v>
      </c>
      <c r="BY1" s="422" t="s">
        <v>533</v>
      </c>
      <c r="BZ1" s="422" t="s">
        <v>532</v>
      </c>
      <c r="CA1" s="422" t="s">
        <v>531</v>
      </c>
      <c r="CB1" s="422" t="s">
        <v>530</v>
      </c>
      <c r="CC1" s="422" t="s">
        <v>529</v>
      </c>
      <c r="CD1" s="422" t="s">
        <v>528</v>
      </c>
      <c r="CE1" s="422" t="s">
        <v>527</v>
      </c>
      <c r="CF1" s="422" t="s">
        <v>526</v>
      </c>
      <c r="CG1" s="422" t="s">
        <v>525</v>
      </c>
      <c r="CH1" s="422" t="s">
        <v>524</v>
      </c>
      <c r="CI1" s="422" t="s">
        <v>523</v>
      </c>
      <c r="CJ1" s="422" t="s">
        <v>522</v>
      </c>
      <c r="CK1" s="422" t="s">
        <v>521</v>
      </c>
      <c r="CL1" s="422" t="s">
        <v>520</v>
      </c>
      <c r="CM1" s="422" t="s">
        <v>519</v>
      </c>
      <c r="CN1" s="422" t="s">
        <v>518</v>
      </c>
      <c r="CO1" s="422" t="s">
        <v>517</v>
      </c>
      <c r="CP1" s="422" t="s">
        <v>516</v>
      </c>
      <c r="CQ1" s="422" t="s">
        <v>515</v>
      </c>
      <c r="CR1" s="422" t="s">
        <v>514</v>
      </c>
      <c r="CS1" s="422" t="s">
        <v>513</v>
      </c>
      <c r="CT1" s="422" t="s">
        <v>512</v>
      </c>
      <c r="CU1" s="422" t="s">
        <v>511</v>
      </c>
      <c r="CV1" s="422" t="s">
        <v>510</v>
      </c>
      <c r="CW1" s="422" t="s">
        <v>509</v>
      </c>
      <c r="CX1" s="422" t="s">
        <v>508</v>
      </c>
      <c r="CY1" s="422" t="s">
        <v>507</v>
      </c>
      <c r="CZ1" s="422" t="s">
        <v>506</v>
      </c>
      <c r="DA1" s="422" t="s">
        <v>505</v>
      </c>
      <c r="DB1" s="422" t="s">
        <v>504</v>
      </c>
      <c r="DC1" s="422" t="s">
        <v>503</v>
      </c>
      <c r="DD1" s="422" t="s">
        <v>502</v>
      </c>
      <c r="DE1" s="422" t="s">
        <v>501</v>
      </c>
      <c r="DF1" s="422" t="s">
        <v>500</v>
      </c>
      <c r="DG1" s="422" t="s">
        <v>499</v>
      </c>
      <c r="DH1" s="422" t="s">
        <v>498</v>
      </c>
      <c r="DI1" s="422" t="s">
        <v>497</v>
      </c>
      <c r="DJ1" s="422" t="s">
        <v>496</v>
      </c>
      <c r="DK1" s="422" t="s">
        <v>495</v>
      </c>
      <c r="DL1" s="422" t="s">
        <v>494</v>
      </c>
      <c r="DM1" s="422" t="s">
        <v>493</v>
      </c>
      <c r="DN1" s="422" t="s">
        <v>492</v>
      </c>
      <c r="DO1" s="422" t="s">
        <v>491</v>
      </c>
      <c r="DP1" s="422" t="s">
        <v>490</v>
      </c>
      <c r="DQ1" s="422" t="s">
        <v>489</v>
      </c>
      <c r="DR1" s="422" t="s">
        <v>488</v>
      </c>
      <c r="DS1" s="422" t="s">
        <v>487</v>
      </c>
      <c r="DT1" s="422" t="s">
        <v>486</v>
      </c>
    </row>
    <row r="3" spans="1:126" s="497" customFormat="1" x14ac:dyDescent="0.2">
      <c r="A3" s="497">
        <v>1995</v>
      </c>
      <c r="B3" s="497" t="s">
        <v>485</v>
      </c>
      <c r="C3" s="497">
        <v>1530</v>
      </c>
      <c r="D3" s="497" t="s">
        <v>430</v>
      </c>
      <c r="E3" s="497">
        <v>1</v>
      </c>
      <c r="F3" s="497" t="s">
        <v>418</v>
      </c>
      <c r="G3" s="497">
        <v>-7.6421357499999996</v>
      </c>
      <c r="H3" s="497">
        <v>3.203352E-3</v>
      </c>
      <c r="I3" s="497">
        <v>30</v>
      </c>
      <c r="J3" s="499">
        <v>2.48E-5</v>
      </c>
      <c r="K3" s="497">
        <v>4.6584679999999998E-3</v>
      </c>
      <c r="L3" s="497">
        <v>0.720066176</v>
      </c>
      <c r="M3" s="497">
        <v>-6.7374818830000001</v>
      </c>
      <c r="N3" s="497">
        <v>8.0695639999999996E-3</v>
      </c>
      <c r="O3" s="497">
        <v>30</v>
      </c>
      <c r="P3" s="497">
        <v>-3.9278400000000003E-4</v>
      </c>
      <c r="Q3" s="497">
        <v>0.18361543399999999</v>
      </c>
      <c r="R3" s="497">
        <v>1.8150629000000001E-2</v>
      </c>
      <c r="S3" s="497">
        <v>2.436716477</v>
      </c>
      <c r="T3" s="497">
        <v>3.1196319999999998E-3</v>
      </c>
      <c r="U3" s="497">
        <v>30</v>
      </c>
      <c r="V3" s="499">
        <v>9.6299999999999993E-6</v>
      </c>
      <c r="W3" s="497">
        <v>7.383E-4</v>
      </c>
      <c r="X3" s="497">
        <v>0.88666324299999999</v>
      </c>
      <c r="Y3" s="497">
        <v>0.67219365499999995</v>
      </c>
      <c r="Z3" s="497">
        <v>8.1237940000000002E-3</v>
      </c>
      <c r="AA3" s="497">
        <v>30</v>
      </c>
      <c r="AB3" s="497">
        <v>-3.9527200000000001E-4</v>
      </c>
      <c r="AC3" s="497">
        <v>0.183474781</v>
      </c>
      <c r="AD3" s="497">
        <v>1.8199834000000002E-2</v>
      </c>
      <c r="AE3" s="497">
        <v>2.8958270110000002</v>
      </c>
      <c r="AF3" s="497">
        <v>6.7152440999999993E-2</v>
      </c>
      <c r="AG3" s="497">
        <v>30</v>
      </c>
      <c r="AH3" s="497">
        <v>-3.7910199999999998E-4</v>
      </c>
      <c r="AI3" s="497">
        <v>2.4699560000000001E-3</v>
      </c>
      <c r="AJ3" s="497">
        <v>0.79424282899999998</v>
      </c>
      <c r="AK3" s="497">
        <v>-0.28036692200000002</v>
      </c>
      <c r="AL3" s="497">
        <v>6.6518076999999995E-2</v>
      </c>
      <c r="AM3" s="497">
        <v>30</v>
      </c>
      <c r="AN3" s="499">
        <v>4.0600000000000001E-7</v>
      </c>
      <c r="AO3" s="499">
        <v>2.88E-9</v>
      </c>
      <c r="AP3" s="497">
        <v>0.99977533600000001</v>
      </c>
      <c r="AQ3" s="497">
        <v>1.1643895639999999</v>
      </c>
      <c r="AR3" s="497">
        <v>0.26008996899999998</v>
      </c>
      <c r="AS3" s="497">
        <v>30</v>
      </c>
      <c r="AT3" s="497">
        <v>-4.3223280000000003E-3</v>
      </c>
      <c r="AU3" s="497">
        <v>2.1403749E-2</v>
      </c>
      <c r="AV3" s="497">
        <v>0.44044936000000001</v>
      </c>
      <c r="AW3" s="497">
        <v>-0.18018551399999999</v>
      </c>
      <c r="AX3" s="497">
        <v>0.25754861400000001</v>
      </c>
      <c r="AY3" s="497">
        <v>30</v>
      </c>
      <c r="AZ3" s="497">
        <v>-3.5265050000000001E-3</v>
      </c>
      <c r="BA3" s="497">
        <v>1.4530220999999999E-2</v>
      </c>
      <c r="BB3" s="497">
        <v>0.52575577500000004</v>
      </c>
      <c r="BC3" s="497">
        <v>-14.231301050000001</v>
      </c>
      <c r="BD3" s="497">
        <v>6.0062266659999999</v>
      </c>
      <c r="BE3" s="497">
        <v>30</v>
      </c>
      <c r="BF3" s="497">
        <v>8.8787980000000002E-2</v>
      </c>
      <c r="BG3" s="497">
        <v>1.6935835E-2</v>
      </c>
      <c r="BH3" s="497">
        <v>0.493072701</v>
      </c>
      <c r="BI3" s="497">
        <v>-18.083418609999999</v>
      </c>
      <c r="BJ3" s="497">
        <v>5.9784817050000001</v>
      </c>
      <c r="BK3" s="497">
        <v>30</v>
      </c>
      <c r="BL3" s="497">
        <v>8.9193357000000001E-2</v>
      </c>
      <c r="BM3" s="497">
        <v>1.7249833999999999E-2</v>
      </c>
      <c r="BN3" s="497">
        <v>0.48905662599999999</v>
      </c>
      <c r="BO3" s="497">
        <v>1.1841874E-2</v>
      </c>
      <c r="BP3" s="499">
        <v>2.1199999999999999E-7</v>
      </c>
      <c r="BQ3" s="497">
        <v>1.1813089000000001E-2</v>
      </c>
      <c r="BR3" s="499">
        <v>2.0699999999999999E-7</v>
      </c>
      <c r="BS3" s="497">
        <v>1.187796E-2</v>
      </c>
      <c r="BT3" s="497">
        <v>4.2450389999999999E-3</v>
      </c>
      <c r="BU3" s="499">
        <v>6.7200000000000006E-8</v>
      </c>
      <c r="BV3" s="497">
        <v>4.2421869999999997E-3</v>
      </c>
      <c r="BW3" s="499">
        <v>7.1999999999999996E-8</v>
      </c>
      <c r="BX3" s="497">
        <v>4.157483E-3</v>
      </c>
      <c r="BY3" s="499">
        <v>4.8199999999999999E-5</v>
      </c>
      <c r="BZ3" s="499">
        <v>3.2599999999999999E-9</v>
      </c>
      <c r="CA3" s="499">
        <v>4.8000000000000001E-5</v>
      </c>
      <c r="CB3" s="499">
        <v>1.9500000000000001E-9</v>
      </c>
      <c r="CC3" s="499">
        <v>4.7599999999999998E-5</v>
      </c>
      <c r="CD3" s="499">
        <v>4.6399999999999996E-6</v>
      </c>
      <c r="CE3" s="499">
        <v>5.8100000000000004E-9</v>
      </c>
      <c r="CF3" s="499">
        <v>4.6299999999999997E-6</v>
      </c>
      <c r="CG3" s="499">
        <v>5.9099999999999997E-9</v>
      </c>
      <c r="CH3" s="499">
        <v>4.3200000000000001E-6</v>
      </c>
      <c r="CI3" s="499">
        <v>8.2000000000000006E-8</v>
      </c>
      <c r="CJ3" s="499">
        <v>2.1900000000000001E-9</v>
      </c>
      <c r="CK3" s="499">
        <v>8.3200000000000004E-8</v>
      </c>
      <c r="CL3" s="499">
        <v>2.1200000000000001E-9</v>
      </c>
      <c r="CM3" s="499">
        <v>4.6900000000000003E-8</v>
      </c>
      <c r="CN3" s="500">
        <v>45203.738194444442</v>
      </c>
      <c r="CO3" s="497">
        <v>1696466626</v>
      </c>
      <c r="CP3" s="497" t="s">
        <v>420</v>
      </c>
      <c r="CQ3" s="497" t="s">
        <v>416</v>
      </c>
      <c r="CR3" s="497" t="s">
        <v>415</v>
      </c>
      <c r="CS3" s="497">
        <v>2662</v>
      </c>
      <c r="CT3" s="497">
        <v>46.325530000000001</v>
      </c>
      <c r="CU3" s="497">
        <v>2.6800000000000001E-3</v>
      </c>
      <c r="CV3" s="497">
        <v>2</v>
      </c>
      <c r="CW3" s="499">
        <v>2.73E-8</v>
      </c>
      <c r="CX3" s="499">
        <v>1.05E-7</v>
      </c>
      <c r="CY3" s="497">
        <v>3</v>
      </c>
      <c r="CZ3" s="497">
        <v>30</v>
      </c>
      <c r="DA3" s="499">
        <v>2.65E-7</v>
      </c>
      <c r="DB3" s="499">
        <v>8.2300000000000002E-8</v>
      </c>
      <c r="DC3" s="497">
        <v>0.14654880000000001</v>
      </c>
      <c r="DD3" s="499">
        <v>7.8800000000000004E-8</v>
      </c>
      <c r="DE3" s="499">
        <v>6.8900000000000002E-8</v>
      </c>
      <c r="DF3" s="499">
        <v>5.9999999999999995E-8</v>
      </c>
      <c r="DG3" s="499">
        <v>3.8E-12</v>
      </c>
      <c r="DH3" s="499">
        <v>3.32E-12</v>
      </c>
      <c r="DI3" s="499">
        <v>2.89E-12</v>
      </c>
      <c r="DJ3" s="497">
        <v>-0.656527482</v>
      </c>
      <c r="DK3" s="497">
        <v>-0.31074960699999998</v>
      </c>
      <c r="DL3" s="497">
        <v>-4.5677738000000002E-2</v>
      </c>
      <c r="DM3" s="499">
        <v>-7.1700000000000001E-10</v>
      </c>
      <c r="DN3" s="499">
        <v>-7.0500000000000005E-10</v>
      </c>
      <c r="DO3" s="497">
        <v>1.7402528E-2</v>
      </c>
      <c r="DP3" s="497">
        <v>-7.9959741490000003</v>
      </c>
      <c r="DQ3" s="497">
        <v>-6.1168029429999997</v>
      </c>
      <c r="DR3" s="497">
        <v>0.61210097900000005</v>
      </c>
      <c r="DS3" s="497">
        <v>0.26262705600000003</v>
      </c>
      <c r="DT3" s="498">
        <f>SQRT((0.0391*10^6)/(DR3-0.154))-273.15</f>
        <v>19.001263401947313</v>
      </c>
    </row>
    <row r="4" spans="1:126" s="497" customFormat="1" ht="46" customHeight="1" x14ac:dyDescent="0.2">
      <c r="A4" s="497">
        <v>2011</v>
      </c>
      <c r="B4" s="497" t="s">
        <v>484</v>
      </c>
      <c r="C4" s="497">
        <v>1530</v>
      </c>
      <c r="D4" s="497" t="s">
        <v>430</v>
      </c>
      <c r="E4" s="497">
        <v>1</v>
      </c>
      <c r="F4" s="497" t="s">
        <v>429</v>
      </c>
      <c r="G4" s="497">
        <v>-7.7106403590000001</v>
      </c>
      <c r="H4" s="497">
        <v>4.9437350000000003E-3</v>
      </c>
      <c r="I4" s="497">
        <v>30</v>
      </c>
      <c r="J4" s="499">
        <v>4.49E-5</v>
      </c>
      <c r="K4" s="497">
        <v>6.399086E-3</v>
      </c>
      <c r="L4" s="497">
        <v>0.67433660500000003</v>
      </c>
      <c r="M4" s="497">
        <v>-6.8060752149999999</v>
      </c>
      <c r="N4" s="497">
        <v>9.1561279999999995E-3</v>
      </c>
      <c r="O4" s="497">
        <v>30</v>
      </c>
      <c r="P4" s="499">
        <v>2.2500000000000001E-5</v>
      </c>
      <c r="Q4" s="497">
        <v>4.6985700000000001E-4</v>
      </c>
      <c r="R4" s="497">
        <v>0.90948068400000004</v>
      </c>
      <c r="S4" s="497">
        <v>2.3696693670000002</v>
      </c>
      <c r="T4" s="497">
        <v>4.7310039999999996E-3</v>
      </c>
      <c r="U4" s="497">
        <v>30</v>
      </c>
      <c r="V4" s="499">
        <v>4.32E-5</v>
      </c>
      <c r="W4" s="497">
        <v>6.4554119999999998E-3</v>
      </c>
      <c r="X4" s="497">
        <v>0.67298482699999995</v>
      </c>
      <c r="Y4" s="497">
        <v>0.60301225999999997</v>
      </c>
      <c r="Z4" s="497">
        <v>9.2171609999999998E-3</v>
      </c>
      <c r="AA4" s="497">
        <v>30</v>
      </c>
      <c r="AB4" s="499">
        <v>2.2799999999999999E-5</v>
      </c>
      <c r="AC4" s="497">
        <v>4.7360000000000002E-4</v>
      </c>
      <c r="AD4" s="497">
        <v>0.90912225899999999</v>
      </c>
      <c r="AE4" s="497">
        <v>2.7852367220000001</v>
      </c>
      <c r="AF4" s="497">
        <v>6.5215148000000001E-2</v>
      </c>
      <c r="AG4" s="497">
        <v>30</v>
      </c>
      <c r="AH4" s="497">
        <v>-1.592013E-3</v>
      </c>
      <c r="AI4" s="497">
        <v>4.6184658000000003E-2</v>
      </c>
      <c r="AJ4" s="497">
        <v>0.25409442900000001</v>
      </c>
      <c r="AK4" s="497">
        <v>-0.25366566800000001</v>
      </c>
      <c r="AL4" s="497">
        <v>7.0824137999999995E-2</v>
      </c>
      <c r="AM4" s="497">
        <v>30</v>
      </c>
      <c r="AN4" s="497">
        <v>-1.6540120000000001E-3</v>
      </c>
      <c r="AO4" s="497">
        <v>4.2268438999999998E-2</v>
      </c>
      <c r="AP4" s="497">
        <v>0.27574610199999999</v>
      </c>
      <c r="AQ4" s="497">
        <v>1.0875869680000001</v>
      </c>
      <c r="AR4" s="497">
        <v>0.23246934</v>
      </c>
      <c r="AS4" s="497">
        <v>30</v>
      </c>
      <c r="AT4" s="497">
        <v>-2.4369299999999999E-3</v>
      </c>
      <c r="AU4" s="497">
        <v>8.5164070000000001E-3</v>
      </c>
      <c r="AV4" s="497">
        <v>0.62766093899999997</v>
      </c>
      <c r="AW4" s="497">
        <v>-0.118635692</v>
      </c>
      <c r="AX4" s="497">
        <v>0.23500717300000001</v>
      </c>
      <c r="AY4" s="497">
        <v>30</v>
      </c>
      <c r="AZ4" s="497">
        <v>-2.4796079999999999E-3</v>
      </c>
      <c r="BA4" s="497">
        <v>8.6279049999999999E-3</v>
      </c>
      <c r="BB4" s="497">
        <v>0.62540808999999997</v>
      </c>
      <c r="BC4" s="497">
        <v>-13.750233959999999</v>
      </c>
      <c r="BD4" s="497">
        <v>6.2764420169999999</v>
      </c>
      <c r="BE4" s="497">
        <v>30</v>
      </c>
      <c r="BF4" s="497">
        <v>-0.25783537499999998</v>
      </c>
      <c r="BG4" s="497">
        <v>0.13078551999999999</v>
      </c>
      <c r="BH4" s="497">
        <v>4.9568306999999999E-2</v>
      </c>
      <c r="BI4" s="497">
        <v>-17.400645390000001</v>
      </c>
      <c r="BJ4" s="497">
        <v>6.2580979719999998</v>
      </c>
      <c r="BK4" s="497">
        <v>30</v>
      </c>
      <c r="BL4" s="497">
        <v>-0.25696855299999999</v>
      </c>
      <c r="BM4" s="497">
        <v>0.13067031800000001</v>
      </c>
      <c r="BN4" s="497">
        <v>4.9676181E-2</v>
      </c>
      <c r="BO4" s="497">
        <v>1.1841307000000001E-2</v>
      </c>
      <c r="BP4" s="499">
        <v>3.5600000000000001E-7</v>
      </c>
      <c r="BQ4" s="497">
        <v>1.1813314E-2</v>
      </c>
      <c r="BR4" s="499">
        <v>3.53E-7</v>
      </c>
      <c r="BS4" s="497">
        <v>1.1877165E-2</v>
      </c>
      <c r="BT4" s="497">
        <v>4.2450079999999998E-3</v>
      </c>
      <c r="BU4" s="499">
        <v>1.1000000000000001E-7</v>
      </c>
      <c r="BV4" s="497">
        <v>4.24245E-3</v>
      </c>
      <c r="BW4" s="499">
        <v>1.09E-7</v>
      </c>
      <c r="BX4" s="497">
        <v>4.1571960000000002E-3</v>
      </c>
      <c r="BY4" s="499">
        <v>4.8199999999999999E-5</v>
      </c>
      <c r="BZ4" s="499">
        <v>2.8400000000000001E-9</v>
      </c>
      <c r="CA4" s="499">
        <v>4.8000000000000001E-5</v>
      </c>
      <c r="CB4" s="499">
        <v>2.09E-9</v>
      </c>
      <c r="CC4" s="499">
        <v>4.7599999999999998E-5</v>
      </c>
      <c r="CD4" s="499">
        <v>4.6299999999999997E-6</v>
      </c>
      <c r="CE4" s="499">
        <v>5.1199999999999997E-9</v>
      </c>
      <c r="CF4" s="499">
        <v>4.6299999999999997E-6</v>
      </c>
      <c r="CG4" s="499">
        <v>5.2000000000000002E-9</v>
      </c>
      <c r="CH4" s="499">
        <v>4.3200000000000001E-6</v>
      </c>
      <c r="CI4" s="499">
        <v>8.0099999999999996E-8</v>
      </c>
      <c r="CJ4" s="499">
        <v>1.7599999999999999E-9</v>
      </c>
      <c r="CK4" s="499">
        <v>8.1199999999999999E-8</v>
      </c>
      <c r="CL4" s="499">
        <v>1.9399999999999999E-9</v>
      </c>
      <c r="CM4" s="499">
        <v>4.6900000000000003E-8</v>
      </c>
      <c r="CN4" s="500">
        <v>45204.509027777778</v>
      </c>
      <c r="CO4" s="497">
        <v>1696533189</v>
      </c>
      <c r="CP4" s="497" t="s">
        <v>420</v>
      </c>
      <c r="CQ4" s="497" t="s">
        <v>416</v>
      </c>
      <c r="CR4" s="497" t="s">
        <v>415</v>
      </c>
      <c r="CS4" s="497">
        <v>2823</v>
      </c>
      <c r="CT4" s="497">
        <v>49.926600000000001</v>
      </c>
      <c r="CU4" s="497">
        <v>3.13E-3</v>
      </c>
      <c r="CV4" s="497">
        <v>2</v>
      </c>
      <c r="CW4" s="499">
        <v>2.9999999999999997E-8</v>
      </c>
      <c r="CX4" s="499">
        <v>1.05E-7</v>
      </c>
      <c r="CY4" s="497">
        <v>3</v>
      </c>
      <c r="CZ4" s="497">
        <v>30</v>
      </c>
      <c r="DA4" s="499">
        <v>2.65E-7</v>
      </c>
      <c r="DB4" s="499">
        <v>8.9999999999999999E-8</v>
      </c>
      <c r="DC4" s="497">
        <v>-0.135298</v>
      </c>
      <c r="DD4" s="499">
        <v>8.6000000000000002E-8</v>
      </c>
      <c r="DE4" s="499">
        <v>7.4700000000000001E-8</v>
      </c>
      <c r="DF4" s="499">
        <v>6.4799999999999998E-8</v>
      </c>
      <c r="DG4" s="499">
        <v>4.1399999999999997E-12</v>
      </c>
      <c r="DH4" s="499">
        <v>3.6E-12</v>
      </c>
      <c r="DI4" s="499">
        <v>3.12E-12</v>
      </c>
      <c r="DJ4" s="497">
        <v>-1.024856298</v>
      </c>
      <c r="DK4" s="497">
        <v>-0.56330875400000002</v>
      </c>
      <c r="DL4" s="497">
        <v>-0.22574866800000001</v>
      </c>
      <c r="DM4" s="499">
        <v>-8.2900000000000003E-10</v>
      </c>
      <c r="DN4" s="499">
        <v>-8.3100000000000003E-10</v>
      </c>
      <c r="DO4" s="497">
        <v>1.7685653999999999E-2</v>
      </c>
      <c r="DP4" s="497">
        <v>-8.0646792400000002</v>
      </c>
      <c r="DQ4" s="497">
        <v>-6.1851839819999999</v>
      </c>
      <c r="DR4" s="497">
        <v>0.63969830599999999</v>
      </c>
      <c r="DS4" s="497">
        <v>0.36569325000000003</v>
      </c>
      <c r="DT4" s="498">
        <f>SQRT((0.0391*10^6)/(DR4-0.154))-273.15</f>
        <v>10.57988649379331</v>
      </c>
      <c r="DV4" s="445" t="s">
        <v>439</v>
      </c>
    </row>
    <row r="5" spans="1:126" s="497" customFormat="1" ht="46" customHeight="1" x14ac:dyDescent="0.2">
      <c r="J5" s="499"/>
      <c r="P5" s="499"/>
      <c r="V5" s="499"/>
      <c r="AB5" s="499"/>
      <c r="BP5" s="499"/>
      <c r="BR5" s="499"/>
      <c r="BU5" s="499"/>
      <c r="BW5" s="499"/>
      <c r="BY5" s="499"/>
      <c r="BZ5" s="499"/>
      <c r="CA5" s="499"/>
      <c r="CB5" s="499"/>
      <c r="CC5" s="499"/>
      <c r="CD5" s="499"/>
      <c r="CE5" s="499"/>
      <c r="CF5" s="499"/>
      <c r="CG5" s="499"/>
      <c r="CH5" s="499"/>
      <c r="CI5" s="499"/>
      <c r="CJ5" s="499"/>
      <c r="CK5" s="499"/>
      <c r="CL5" s="499"/>
      <c r="CM5" s="499"/>
      <c r="CN5" s="500"/>
      <c r="CW5" s="499"/>
      <c r="CX5" s="499"/>
      <c r="DA5" s="499"/>
      <c r="DB5" s="499"/>
      <c r="DD5" s="499"/>
      <c r="DE5" s="499"/>
      <c r="DF5" s="499"/>
      <c r="DG5" s="499"/>
      <c r="DH5" s="499"/>
      <c r="DI5" s="499"/>
      <c r="DM5" s="499"/>
      <c r="DN5" s="499"/>
      <c r="DT5" s="498"/>
      <c r="DV5" s="445"/>
    </row>
    <row r="6" spans="1:126" s="542" customFormat="1" x14ac:dyDescent="0.2">
      <c r="A6" s="542">
        <v>2030</v>
      </c>
      <c r="B6" s="543">
        <v>45205.710960648146</v>
      </c>
      <c r="C6" s="542" t="s">
        <v>659</v>
      </c>
      <c r="D6" s="542" t="s">
        <v>430</v>
      </c>
      <c r="E6" s="542">
        <v>1</v>
      </c>
      <c r="F6" s="542" t="s">
        <v>660</v>
      </c>
      <c r="G6" s="542">
        <v>-7.1692849789829598</v>
      </c>
      <c r="H6" s="542">
        <v>4.6918903303330003E-3</v>
      </c>
      <c r="I6" s="542">
        <v>30</v>
      </c>
      <c r="J6" s="544">
        <v>-9.2774000771414294E-5</v>
      </c>
      <c r="K6" s="542">
        <v>3.0301112158177001E-2</v>
      </c>
      <c r="L6" s="542">
        <v>0.35758826711638397</v>
      </c>
      <c r="M6" s="542">
        <v>-6.6128365639191804</v>
      </c>
      <c r="N6" s="542">
        <v>1.3099303269022E-2</v>
      </c>
      <c r="O6" s="542">
        <v>30</v>
      </c>
      <c r="P6" s="542">
        <v>-1.0692340724660001E-3</v>
      </c>
      <c r="Q6" s="542">
        <v>0.51635797396882899</v>
      </c>
      <c r="R6" s="544">
        <v>7.7384419741447904E-6</v>
      </c>
      <c r="S6" s="542">
        <v>2.8872471810426599</v>
      </c>
      <c r="T6" s="542">
        <v>4.6562549452800004E-3</v>
      </c>
      <c r="U6" s="542">
        <v>30</v>
      </c>
      <c r="V6" s="542">
        <v>-1.2511166555299999E-4</v>
      </c>
      <c r="W6" s="542">
        <v>5.5953055964996001E-2</v>
      </c>
      <c r="X6" s="542">
        <v>0.20820949172002101</v>
      </c>
      <c r="Y6" s="542">
        <v>0.79864203338989903</v>
      </c>
      <c r="Z6" s="542">
        <v>1.3188577539704999E-2</v>
      </c>
      <c r="AA6" s="542">
        <v>30</v>
      </c>
      <c r="AB6" s="542">
        <v>-1.0763458551379999E-3</v>
      </c>
      <c r="AC6" s="542">
        <v>0.51618986581291204</v>
      </c>
      <c r="AD6" s="544">
        <v>7.7773066342936403E-6</v>
      </c>
      <c r="AE6" s="542">
        <v>3.5281744458651798</v>
      </c>
      <c r="AF6" s="542">
        <v>6.6269179071018994E-2</v>
      </c>
      <c r="AG6" s="542">
        <v>30</v>
      </c>
      <c r="AH6" s="542">
        <v>-3.1814221033900001E-4</v>
      </c>
      <c r="AI6" s="542">
        <v>1.7861630843130001E-3</v>
      </c>
      <c r="AJ6" s="542">
        <v>0.82451096986750105</v>
      </c>
      <c r="AK6" s="542">
        <v>-0.24577522409553901</v>
      </c>
      <c r="AL6" s="542">
        <v>5.1211176606971998E-2</v>
      </c>
      <c r="AM6" s="542">
        <v>29</v>
      </c>
      <c r="AN6" s="542">
        <v>4.0150794731799998E-4</v>
      </c>
      <c r="AO6" s="542">
        <v>4.8880263780090001E-3</v>
      </c>
      <c r="AP6" s="542">
        <v>0.71856229183560805</v>
      </c>
      <c r="AQ6" s="542">
        <v>1.4310348895412699</v>
      </c>
      <c r="AR6" s="542">
        <v>0.25210353706242999</v>
      </c>
      <c r="AS6" s="542">
        <v>30</v>
      </c>
      <c r="AT6" s="542">
        <v>7.9983426732010005E-3</v>
      </c>
      <c r="AU6" s="542">
        <v>7.8008843237118999E-2</v>
      </c>
      <c r="AV6" s="542">
        <v>0.134987885693374</v>
      </c>
      <c r="AW6" s="542">
        <v>-0.166593404410535</v>
      </c>
      <c r="AX6" s="542">
        <v>0.25531508434502598</v>
      </c>
      <c r="AY6" s="542">
        <v>30</v>
      </c>
      <c r="AZ6" s="542">
        <v>1.013622886694E-2</v>
      </c>
      <c r="BA6" s="542">
        <v>0.122152277852293</v>
      </c>
      <c r="BB6" s="542">
        <v>5.8336515164615001E-2</v>
      </c>
      <c r="BC6" s="542">
        <v>-8.1998976595548303</v>
      </c>
      <c r="BD6" s="542">
        <v>7.2979763259976203</v>
      </c>
      <c r="BE6" s="542">
        <v>29</v>
      </c>
      <c r="BF6" s="542">
        <v>-0.27680321210994502</v>
      </c>
      <c r="BG6" s="542">
        <v>0.10961284180547</v>
      </c>
      <c r="BH6" s="542">
        <v>7.9371273636831996E-2</v>
      </c>
      <c r="BI6" s="542">
        <v>-12.7934536071349</v>
      </c>
      <c r="BJ6" s="542">
        <v>7.2519126530183398</v>
      </c>
      <c r="BK6" s="542">
        <v>29</v>
      </c>
      <c r="BL6" s="542">
        <v>-0.27325820816976498</v>
      </c>
      <c r="BM6" s="542">
        <v>0.108184586678021</v>
      </c>
      <c r="BN6" s="542">
        <v>8.1474897976752003E-2</v>
      </c>
      <c r="BO6" s="542">
        <v>1.1846580846282999E-2</v>
      </c>
      <c r="BP6" s="544">
        <v>2.4115596391062801E-7</v>
      </c>
      <c r="BQ6" s="542">
        <v>1.1812475310168E-2</v>
      </c>
      <c r="BR6" s="544">
        <v>2.3024143423236299E-7</v>
      </c>
      <c r="BS6" s="542">
        <v>1.1883298017519001E-2</v>
      </c>
      <c r="BT6" s="542">
        <v>4.2458655779179996E-3</v>
      </c>
      <c r="BU6" s="544">
        <v>1.0390329794717199E-7</v>
      </c>
      <c r="BV6" s="542">
        <v>4.2424773581219996E-3</v>
      </c>
      <c r="BW6" s="544">
        <v>1.2634012967675701E-7</v>
      </c>
      <c r="BX6" s="542">
        <v>4.1580084572139997E-3</v>
      </c>
      <c r="BY6" s="544">
        <v>4.8249896042818799E-5</v>
      </c>
      <c r="BZ6" s="544">
        <v>9.3632481252977694E-9</v>
      </c>
      <c r="CA6" s="544">
        <v>4.8080260707133901E-5</v>
      </c>
      <c r="CB6" s="544">
        <v>9.8966077336920208E-9</v>
      </c>
      <c r="CC6" s="544">
        <v>4.7670718371545798E-5</v>
      </c>
      <c r="CD6" s="544">
        <v>4.6403159407536002E-6</v>
      </c>
      <c r="CE6" s="544">
        <v>6.3125482954409601E-9</v>
      </c>
      <c r="CF6" s="544">
        <v>4.6336846419201402E-6</v>
      </c>
      <c r="CG6" s="544">
        <v>5.9304861188080699E-9</v>
      </c>
      <c r="CH6" s="544">
        <v>4.3212006536398402E-6</v>
      </c>
      <c r="CI6" s="544">
        <v>8.1275646281386706E-8</v>
      </c>
      <c r="CJ6" s="544">
        <v>2.1014667329663002E-9</v>
      </c>
      <c r="CK6" s="544">
        <v>8.2088815082189306E-8</v>
      </c>
      <c r="CL6" s="544">
        <v>1.9695341193629399E-9</v>
      </c>
      <c r="CM6" s="544">
        <v>4.7081002122074101E-8</v>
      </c>
      <c r="CN6" s="542">
        <v>1696637027</v>
      </c>
      <c r="CO6" s="542" t="s">
        <v>422</v>
      </c>
      <c r="CP6" s="542" t="s">
        <v>416</v>
      </c>
      <c r="CQ6" s="542" t="s">
        <v>661</v>
      </c>
      <c r="CR6" s="542">
        <v>2960</v>
      </c>
      <c r="CS6" s="542">
        <v>54.504240000000003</v>
      </c>
      <c r="CT6" s="542">
        <v>1.8413594594595E-2</v>
      </c>
      <c r="CU6" s="542">
        <v>3.8370029999999999E-3</v>
      </c>
      <c r="CV6" s="542">
        <v>2</v>
      </c>
      <c r="CW6" s="544">
        <v>2.7358559999999999E-8</v>
      </c>
      <c r="CX6" s="544">
        <v>1.0453509999999999E-7</v>
      </c>
      <c r="CY6" s="542">
        <v>3</v>
      </c>
      <c r="CZ6" s="542">
        <v>30</v>
      </c>
      <c r="DA6" s="544">
        <v>2.6474109999999999E-7</v>
      </c>
      <c r="DB6" s="544">
        <v>9.0795629999999996E-8</v>
      </c>
      <c r="DC6" s="542">
        <v>-0.2184855</v>
      </c>
      <c r="DD6" s="544">
        <v>8.6873657000000001E-8</v>
      </c>
      <c r="DE6" s="544">
        <v>7.5894886416666706E-8</v>
      </c>
      <c r="DF6" s="544">
        <v>6.6447503499999999E-8</v>
      </c>
      <c r="DG6" s="544">
        <v>4.1909012499999998E-12</v>
      </c>
      <c r="DH6" s="544">
        <v>3.6618840566666699E-12</v>
      </c>
      <c r="DI6" s="544">
        <v>3.2072296500000001E-12</v>
      </c>
      <c r="DJ6" s="542">
        <v>-0.39610066012487699</v>
      </c>
      <c r="DK6" s="542">
        <v>-0.23595188663917999</v>
      </c>
      <c r="DL6" s="542">
        <v>0.182385517854909</v>
      </c>
      <c r="DM6" s="544">
        <v>-8.0384310000000098E-10</v>
      </c>
      <c r="DN6" s="544">
        <v>-7.9290284999999897E-10</v>
      </c>
      <c r="DO6" s="545"/>
      <c r="DP6" s="542">
        <v>-7.51850671459583</v>
      </c>
      <c r="DQ6" s="542">
        <v>-5.9970168051190198</v>
      </c>
      <c r="DR6" s="542">
        <v>0.65605339291439502</v>
      </c>
      <c r="DS6" s="542">
        <v>0.375339697438902</v>
      </c>
      <c r="DT6" s="546">
        <f t="shared" ref="DT6:DT7" si="0">SQRT((0.0391*10^6)/(DR6-0.154))-273.15</f>
        <v>5.9201754950898362</v>
      </c>
    </row>
    <row r="7" spans="1:126" s="547" customFormat="1" x14ac:dyDescent="0.2">
      <c r="A7" s="547">
        <v>2047</v>
      </c>
      <c r="B7" s="548">
        <v>45206.524212962962</v>
      </c>
      <c r="C7" s="547" t="s">
        <v>658</v>
      </c>
      <c r="D7" s="547" t="s">
        <v>430</v>
      </c>
      <c r="E7" s="547">
        <v>1</v>
      </c>
      <c r="F7" s="547" t="s">
        <v>660</v>
      </c>
      <c r="G7" s="547">
        <v>-7.7302028319218303</v>
      </c>
      <c r="H7" s="547">
        <v>5.1659720655790001E-3</v>
      </c>
      <c r="I7" s="547">
        <v>30</v>
      </c>
      <c r="J7" s="549">
        <v>-7.3532420252021998E-5</v>
      </c>
      <c r="K7" s="547">
        <v>1.5702012430692001E-2</v>
      </c>
      <c r="L7" s="547">
        <v>0.50939306107594495</v>
      </c>
      <c r="M7" s="547">
        <v>-6.8730660565943298</v>
      </c>
      <c r="N7" s="547">
        <v>1.1640333672944999E-2</v>
      </c>
      <c r="O7" s="547">
        <v>30</v>
      </c>
      <c r="P7" s="547">
        <v>-8.7919167860100002E-4</v>
      </c>
      <c r="Q7" s="547">
        <v>0.44211778040357003</v>
      </c>
      <c r="R7" s="549">
        <v>6.1173166693394106E-5</v>
      </c>
      <c r="S7" s="547">
        <v>2.34885700476715</v>
      </c>
      <c r="T7" s="547">
        <v>5.037872579581E-3</v>
      </c>
      <c r="U7" s="547">
        <v>30</v>
      </c>
      <c r="V7" s="547">
        <v>-1.00281638468E-4</v>
      </c>
      <c r="W7" s="547">
        <v>3.0707904900311001E-2</v>
      </c>
      <c r="X7" s="547">
        <v>0.354330627776481</v>
      </c>
      <c r="Y7" s="547">
        <v>0.53554689351967499</v>
      </c>
      <c r="Z7" s="547">
        <v>1.1719596901582001E-2</v>
      </c>
      <c r="AA7" s="547">
        <v>30</v>
      </c>
      <c r="AB7" s="547">
        <v>-8.8503317034900001E-4</v>
      </c>
      <c r="AC7" s="547">
        <v>0.44197270564628599</v>
      </c>
      <c r="AD7" s="549">
        <v>6.1405043750445201E-5</v>
      </c>
      <c r="AE7" s="547">
        <v>2.69430661605975</v>
      </c>
      <c r="AF7" s="547">
        <v>5.1040483436126001E-2</v>
      </c>
      <c r="AG7" s="547">
        <v>30</v>
      </c>
      <c r="AH7" s="547">
        <v>-3.52623161309E-4</v>
      </c>
      <c r="AI7" s="547">
        <v>3.6990807616979998E-3</v>
      </c>
      <c r="AJ7" s="547">
        <v>0.74952486487610004</v>
      </c>
      <c r="AK7" s="547">
        <v>-0.25663772150311298</v>
      </c>
      <c r="AL7" s="547">
        <v>5.0726864075084997E-2</v>
      </c>
      <c r="AM7" s="547">
        <v>30</v>
      </c>
      <c r="AN7" s="547">
        <v>6.2095066370099997E-4</v>
      </c>
      <c r="AO7" s="547">
        <v>1.161287799714E-2</v>
      </c>
      <c r="AP7" s="547">
        <v>0.57083842179528499</v>
      </c>
      <c r="AQ7" s="547">
        <v>0.87888088598264702</v>
      </c>
      <c r="AR7" s="547">
        <v>0.21529102539528999</v>
      </c>
      <c r="AS7" s="547">
        <v>30</v>
      </c>
      <c r="AT7" s="547">
        <v>-5.3212147659400001E-3</v>
      </c>
      <c r="AU7" s="547">
        <v>4.7344706119648E-2</v>
      </c>
      <c r="AV7" s="547">
        <v>0.248072292727849</v>
      </c>
      <c r="AW7" s="547">
        <v>-0.19227241929508801</v>
      </c>
      <c r="AX7" s="547">
        <v>0.21359209360810699</v>
      </c>
      <c r="AY7" s="547">
        <v>30</v>
      </c>
      <c r="AZ7" s="547">
        <v>-3.5467045086649998E-3</v>
      </c>
      <c r="BA7" s="547">
        <v>2.1368860858591E-2</v>
      </c>
      <c r="BB7" s="547">
        <v>0.44082621222683099</v>
      </c>
      <c r="BC7" s="547">
        <v>-11.2634783956167</v>
      </c>
      <c r="BD7" s="547">
        <v>6.6433198865754104</v>
      </c>
      <c r="BE7" s="547">
        <v>30</v>
      </c>
      <c r="BF7" s="547">
        <v>-9.3219381757320002E-3</v>
      </c>
      <c r="BG7" s="547">
        <v>1.5259623178599999E-4</v>
      </c>
      <c r="BH7" s="547">
        <v>0.94834325213260995</v>
      </c>
      <c r="BI7" s="547">
        <v>-14.7707954350529</v>
      </c>
      <c r="BJ7" s="547">
        <v>6.6205468663179596</v>
      </c>
      <c r="BK7" s="547">
        <v>30</v>
      </c>
      <c r="BL7" s="547">
        <v>-7.4775040271210002E-3</v>
      </c>
      <c r="BM7" s="549">
        <v>9.8861520396435797E-5</v>
      </c>
      <c r="BN7" s="547">
        <v>0.95841182256889301</v>
      </c>
      <c r="BO7" s="547">
        <v>1.1842585596275001E-2</v>
      </c>
      <c r="BP7" s="549">
        <v>1.2868332461810199E-7</v>
      </c>
      <c r="BQ7" s="547">
        <v>1.1814834240454999E-2</v>
      </c>
      <c r="BR7" s="549">
        <v>1.4630728465915401E-7</v>
      </c>
      <c r="BS7" s="547">
        <v>1.1876918585601E-2</v>
      </c>
      <c r="BT7" s="547">
        <v>4.2467745569680004E-3</v>
      </c>
      <c r="BU7" s="549">
        <v>4.9425213709580199E-8</v>
      </c>
      <c r="BV7" s="547">
        <v>4.2445014277160001E-3</v>
      </c>
      <c r="BW7" s="549">
        <v>5.1121942946299399E-8</v>
      </c>
      <c r="BX7" s="547">
        <v>4.1569153783760004E-3</v>
      </c>
      <c r="BY7" s="549">
        <v>4.8332146548565503E-5</v>
      </c>
      <c r="BZ7" s="549">
        <v>2.12144935535135E-9</v>
      </c>
      <c r="CA7" s="549">
        <v>4.8202274891860397E-5</v>
      </c>
      <c r="CB7" s="549">
        <v>1.89019088774184E-9</v>
      </c>
      <c r="CC7" s="549">
        <v>4.7631107048728997E-5</v>
      </c>
      <c r="CD7" s="549">
        <v>4.6630636303317598E-6</v>
      </c>
      <c r="CE7" s="549">
        <v>6.1178490619837498E-9</v>
      </c>
      <c r="CF7" s="549">
        <v>4.65896927458393E-6</v>
      </c>
      <c r="CG7" s="549">
        <v>6.2830086459334901E-9</v>
      </c>
      <c r="CH7" s="549">
        <v>4.3188180949234004E-6</v>
      </c>
      <c r="CI7" s="549">
        <v>8.5583780268367199E-8</v>
      </c>
      <c r="CJ7" s="549">
        <v>2.2863228158934401E-9</v>
      </c>
      <c r="CK7" s="549">
        <v>8.6559932822053E-8</v>
      </c>
      <c r="CL7" s="549">
        <v>2.29216419854279E-9</v>
      </c>
      <c r="CM7" s="549">
        <v>4.7015538127785899E-8</v>
      </c>
      <c r="CN7" s="547">
        <v>1696707292</v>
      </c>
      <c r="CO7" s="547" t="s">
        <v>422</v>
      </c>
      <c r="CP7" s="547" t="s">
        <v>416</v>
      </c>
      <c r="CQ7" s="547" t="s">
        <v>661</v>
      </c>
      <c r="CR7" s="547">
        <v>2627</v>
      </c>
      <c r="CS7" s="547">
        <v>40.374600000000001</v>
      </c>
      <c r="CT7" s="547">
        <v>1.5369090216978E-2</v>
      </c>
      <c r="CU7" s="547">
        <v>3.4289720000000002E-3</v>
      </c>
      <c r="CV7" s="547">
        <v>2</v>
      </c>
      <c r="CW7" s="549">
        <v>2.3975040000000001E-8</v>
      </c>
      <c r="CX7" s="549">
        <v>9.3634179999999994E-8</v>
      </c>
      <c r="CY7" s="547">
        <v>3</v>
      </c>
      <c r="CZ7" s="547">
        <v>30</v>
      </c>
      <c r="DA7" s="549">
        <v>2.6475419999999997E-7</v>
      </c>
      <c r="DB7" s="549">
        <v>7.4893219999999998E-8</v>
      </c>
      <c r="DC7" s="547">
        <v>0.12445059999999999</v>
      </c>
      <c r="DD7" s="549">
        <v>7.1888341999999998E-8</v>
      </c>
      <c r="DE7" s="549">
        <v>6.3199972366666694E-8</v>
      </c>
      <c r="DF7" s="549">
        <v>5.5306387E-8</v>
      </c>
      <c r="DG7" s="549">
        <v>3.4744852500000002E-12</v>
      </c>
      <c r="DH7" s="549">
        <v>3.05459060333333E-12</v>
      </c>
      <c r="DI7" s="549">
        <v>2.6730767499999999E-12</v>
      </c>
      <c r="DJ7" s="547">
        <v>-1.18268889992759</v>
      </c>
      <c r="DK7" s="547">
        <v>-0.69291779487119998</v>
      </c>
      <c r="DL7" s="547">
        <v>-0.22579843335375799</v>
      </c>
      <c r="DM7" s="549">
        <v>-6.1939480000000098E-10</v>
      </c>
      <c r="DN7" s="549">
        <v>-6.02725749999996E-10</v>
      </c>
      <c r="DO7" s="550"/>
      <c r="DP7" s="547">
        <v>-8.08099734001215</v>
      </c>
      <c r="DQ7" s="547">
        <v>-6.2564090945244901</v>
      </c>
      <c r="DR7" s="547">
        <v>0.64336027402481399</v>
      </c>
      <c r="DS7" s="547">
        <v>0.24176234359896001</v>
      </c>
      <c r="DT7" s="546">
        <f t="shared" si="0"/>
        <v>9.5162929544665644</v>
      </c>
    </row>
    <row r="8" spans="1:126" customFormat="1" ht="15" x14ac:dyDescent="0.2">
      <c r="B8" s="538"/>
      <c r="J8" s="539"/>
      <c r="R8" s="539"/>
      <c r="AD8" s="539"/>
      <c r="BM8" s="539"/>
      <c r="BP8" s="539"/>
      <c r="BR8" s="539"/>
      <c r="BU8" s="539"/>
      <c r="BW8" s="539"/>
      <c r="BY8" s="539"/>
      <c r="BZ8" s="539"/>
      <c r="CA8" s="539"/>
      <c r="CB8" s="539"/>
      <c r="CC8" s="539"/>
      <c r="CD8" s="539"/>
      <c r="CE8" s="539"/>
      <c r="CF8" s="539"/>
      <c r="CG8" s="539"/>
      <c r="CH8" s="539"/>
      <c r="CI8" s="539"/>
      <c r="CJ8" s="539"/>
      <c r="CK8" s="539"/>
      <c r="CL8" s="539"/>
      <c r="CM8" s="539"/>
      <c r="CW8" s="539"/>
      <c r="CX8" s="539"/>
      <c r="DA8" s="539"/>
      <c r="DB8" s="539"/>
      <c r="DD8" s="539"/>
      <c r="DE8" s="539"/>
      <c r="DF8" s="539"/>
      <c r="DG8" s="539"/>
      <c r="DH8" s="539"/>
      <c r="DI8" s="539"/>
      <c r="DM8" s="539"/>
      <c r="DN8" s="539"/>
    </row>
    <row r="9" spans="1:126" x14ac:dyDescent="0.2">
      <c r="J9" s="423"/>
      <c r="P9" s="423"/>
      <c r="V9" s="423"/>
      <c r="AB9" s="423"/>
      <c r="BP9" s="423"/>
      <c r="BR9" s="423"/>
      <c r="BU9" s="423"/>
      <c r="BW9" s="423"/>
      <c r="BY9" s="423"/>
      <c r="BZ9" s="423"/>
      <c r="CA9" s="423"/>
      <c r="CB9" s="423"/>
      <c r="CC9" s="423"/>
      <c r="CD9" s="423"/>
      <c r="CE9" s="423"/>
      <c r="CF9" s="423"/>
      <c r="CG9" s="423"/>
      <c r="CH9" s="423"/>
      <c r="CI9" s="423"/>
      <c r="CJ9" s="423"/>
      <c r="CK9" s="423"/>
      <c r="CL9" s="423"/>
      <c r="CM9" s="423"/>
      <c r="CN9" s="424"/>
      <c r="CW9" s="423"/>
      <c r="CX9" s="423"/>
      <c r="DA9" s="423"/>
      <c r="DB9" s="423"/>
      <c r="DD9" s="423"/>
      <c r="DE9" s="423"/>
      <c r="DF9" s="423"/>
      <c r="DG9" s="423"/>
      <c r="DH9" s="423"/>
      <c r="DI9" s="423"/>
      <c r="DM9" s="541" t="s">
        <v>663</v>
      </c>
      <c r="DN9" s="423"/>
      <c r="DO9" s="425" t="s">
        <v>437</v>
      </c>
      <c r="DP9" s="425">
        <f>AVERAGE(DP3:DP4,DP7)</f>
        <v>-8.047216909670718</v>
      </c>
      <c r="DQ9" s="425">
        <f>AVERAGE(DQ3:DQ4,DQ7)</f>
        <v>-6.1861320065081635</v>
      </c>
      <c r="DR9" s="425">
        <f>AVERAGE(DR3:DR4,DR7)</f>
        <v>0.63171985300827138</v>
      </c>
      <c r="DS9" s="425">
        <f>AVERAGE(DS3:DS4,DS7)</f>
        <v>0.29002754986632001</v>
      </c>
      <c r="DT9" s="440">
        <f>AVERAGE(DT3:DT4,DT7)</f>
        <v>13.032480950069063</v>
      </c>
    </row>
    <row r="10" spans="1:126" x14ac:dyDescent="0.2">
      <c r="J10" s="423"/>
      <c r="P10" s="423"/>
      <c r="V10" s="423"/>
      <c r="AB10" s="423"/>
      <c r="BP10" s="423"/>
      <c r="BR10" s="423"/>
      <c r="BU10" s="423"/>
      <c r="BW10" s="423"/>
      <c r="BY10" s="423"/>
      <c r="BZ10" s="423"/>
      <c r="CA10" s="423"/>
      <c r="CB10" s="423"/>
      <c r="CC10" s="423"/>
      <c r="CD10" s="423"/>
      <c r="CE10" s="423"/>
      <c r="CF10" s="423"/>
      <c r="CG10" s="423"/>
      <c r="CH10" s="423"/>
      <c r="CI10" s="423"/>
      <c r="CJ10" s="423"/>
      <c r="CK10" s="423"/>
      <c r="CL10" s="423"/>
      <c r="CM10" s="423"/>
      <c r="CN10" s="424"/>
      <c r="CW10" s="423"/>
      <c r="CX10" s="423"/>
      <c r="DA10" s="423"/>
      <c r="DB10" s="423"/>
      <c r="DD10" s="423"/>
      <c r="DE10" s="423"/>
      <c r="DF10" s="423"/>
      <c r="DG10" s="423"/>
      <c r="DH10" s="423"/>
      <c r="DI10" s="423"/>
      <c r="DM10" s="423"/>
      <c r="DN10" s="423"/>
      <c r="DO10" s="425" t="s">
        <v>394</v>
      </c>
      <c r="DP10" s="425">
        <f>STDEV(DP3:DP4,DP7)</f>
        <v>4.5121341822566441E-2</v>
      </c>
      <c r="DQ10" s="425">
        <f>STDEV(DQ3:DQ4,DQ7)</f>
        <v>6.9807903912958186E-2</v>
      </c>
      <c r="DR10" s="425">
        <f>STDEV(DR3:DR4,DR7)</f>
        <v>1.708881697099034E-2</v>
      </c>
      <c r="DS10" s="425">
        <f>STDEV(DS3:DS4,DS7)</f>
        <v>6.6353656179855988E-2</v>
      </c>
      <c r="DT10" s="425">
        <f>STDEV(DT3:DT4,DT7)</f>
        <v>5.1964007517330346</v>
      </c>
    </row>
    <row r="11" spans="1:126" x14ac:dyDescent="0.2">
      <c r="J11" s="423"/>
      <c r="P11" s="423"/>
      <c r="V11" s="423"/>
      <c r="AB11" s="423"/>
      <c r="BP11" s="423"/>
      <c r="BR11" s="423"/>
      <c r="BU11" s="423"/>
      <c r="BW11" s="423"/>
      <c r="BY11" s="423"/>
      <c r="BZ11" s="423"/>
      <c r="CA11" s="423"/>
      <c r="CB11" s="423"/>
      <c r="CC11" s="423"/>
      <c r="CD11" s="423"/>
      <c r="CE11" s="423"/>
      <c r="CF11" s="423"/>
      <c r="CG11" s="423"/>
      <c r="CH11" s="423"/>
      <c r="CI11" s="423"/>
      <c r="CJ11" s="423"/>
      <c r="CK11" s="423"/>
      <c r="CL11" s="423"/>
      <c r="CM11" s="423"/>
      <c r="CN11" s="424"/>
      <c r="CW11" s="423"/>
      <c r="CX11" s="423"/>
      <c r="DA11" s="423"/>
      <c r="DB11" s="423"/>
      <c r="DD11" s="423"/>
      <c r="DE11" s="423"/>
      <c r="DF11" s="423"/>
      <c r="DG11" s="423"/>
      <c r="DH11" s="423"/>
      <c r="DI11" s="423"/>
      <c r="DM11" s="423"/>
      <c r="DN11" s="423"/>
      <c r="DO11" s="425" t="s">
        <v>436</v>
      </c>
      <c r="DP11" s="425">
        <f>DP10/SQRT(3)</f>
        <v>2.6050818847455855E-2</v>
      </c>
      <c r="DQ11" s="425">
        <f>DQ10/SQRT(3)</f>
        <v>4.0303612115709937E-2</v>
      </c>
      <c r="DR11" s="425">
        <f>DR10/SQRT(3)</f>
        <v>9.8662330783335188E-3</v>
      </c>
      <c r="DS11" s="425">
        <f>DS10/SQRT(3)</f>
        <v>3.8309301257155731E-2</v>
      </c>
      <c r="DT11" s="425">
        <f>DT10/SQRT(3)</f>
        <v>3.0001433728302414</v>
      </c>
    </row>
    <row r="12" spans="1:126" x14ac:dyDescent="0.2">
      <c r="J12" s="423"/>
      <c r="P12" s="423"/>
      <c r="V12" s="423"/>
      <c r="AB12" s="423"/>
      <c r="BP12" s="423"/>
      <c r="BR12" s="423"/>
      <c r="BU12" s="423"/>
      <c r="BW12" s="423"/>
      <c r="BY12" s="423"/>
      <c r="BZ12" s="423"/>
      <c r="CA12" s="423"/>
      <c r="CB12" s="423"/>
      <c r="CC12" s="423"/>
      <c r="CD12" s="423"/>
      <c r="CE12" s="423"/>
      <c r="CF12" s="423"/>
      <c r="CG12" s="423"/>
      <c r="CH12" s="423"/>
      <c r="CI12" s="423"/>
      <c r="CJ12" s="423"/>
      <c r="CK12" s="423"/>
      <c r="CL12" s="423"/>
      <c r="CM12" s="423"/>
      <c r="CN12" s="424"/>
      <c r="CW12" s="423"/>
      <c r="CX12" s="423"/>
      <c r="DA12" s="423"/>
      <c r="DB12" s="423"/>
      <c r="DD12" s="423"/>
      <c r="DE12" s="423"/>
      <c r="DF12" s="423"/>
      <c r="DG12" s="423"/>
      <c r="DH12" s="423"/>
      <c r="DI12" s="423"/>
      <c r="DM12" s="423"/>
      <c r="DN12" s="423"/>
      <c r="DO12" s="425"/>
      <c r="DP12" s="425"/>
      <c r="DQ12" s="425"/>
      <c r="DR12" s="425"/>
      <c r="DS12" s="425"/>
      <c r="DT12" s="425"/>
    </row>
    <row r="13" spans="1:126" x14ac:dyDescent="0.2">
      <c r="J13" s="423"/>
      <c r="P13" s="423"/>
      <c r="V13" s="423"/>
      <c r="AB13" s="423"/>
      <c r="BP13" s="423"/>
      <c r="BR13" s="423"/>
      <c r="BU13" s="423"/>
      <c r="BW13" s="423"/>
      <c r="BY13" s="423"/>
      <c r="BZ13" s="423"/>
      <c r="CA13" s="423"/>
      <c r="CB13" s="423"/>
      <c r="CC13" s="423"/>
      <c r="CD13" s="423"/>
      <c r="CE13" s="423"/>
      <c r="CF13" s="423"/>
      <c r="CG13" s="423"/>
      <c r="CH13" s="423"/>
      <c r="CI13" s="423"/>
      <c r="CJ13" s="423"/>
      <c r="CK13" s="423"/>
      <c r="CL13" s="423"/>
      <c r="CM13" s="423"/>
      <c r="CN13" s="424"/>
      <c r="CW13" s="423"/>
      <c r="CX13" s="423"/>
      <c r="DA13" s="423"/>
      <c r="DB13" s="423"/>
      <c r="DD13" s="423"/>
      <c r="DE13" s="423"/>
      <c r="DF13" s="423"/>
      <c r="DG13" s="423"/>
      <c r="DH13" s="423"/>
      <c r="DI13" s="423"/>
      <c r="DM13" s="541" t="s">
        <v>664</v>
      </c>
      <c r="DN13" s="423"/>
      <c r="DO13" s="425" t="s">
        <v>437</v>
      </c>
      <c r="DP13" s="425">
        <f>AVERAGE(DP3:DP7)</f>
        <v>-7.9150393609019956</v>
      </c>
      <c r="DQ13" s="425">
        <f>AVERAGE(DQ3:DQ7)</f>
        <v>-6.1388532061608769</v>
      </c>
      <c r="DR13" s="425">
        <f>AVERAGE(DR3:DR7)</f>
        <v>0.63780323798480232</v>
      </c>
      <c r="DS13" s="425">
        <f>AVERAGE(DS3:DS7)</f>
        <v>0.31135558675946551</v>
      </c>
      <c r="DT13" s="440">
        <f>AVERAGE(DT3:DT7)</f>
        <v>11.254404586324256</v>
      </c>
    </row>
    <row r="14" spans="1:126" x14ac:dyDescent="0.2">
      <c r="J14" s="423"/>
      <c r="P14" s="423"/>
      <c r="V14" s="423"/>
      <c r="AB14" s="423"/>
      <c r="BP14" s="423"/>
      <c r="BR14" s="423"/>
      <c r="BU14" s="423"/>
      <c r="BW14" s="423"/>
      <c r="BY14" s="423"/>
      <c r="BZ14" s="423"/>
      <c r="CA14" s="423"/>
      <c r="CB14" s="423"/>
      <c r="CC14" s="423"/>
      <c r="CD14" s="423"/>
      <c r="CE14" s="423"/>
      <c r="CF14" s="423"/>
      <c r="CG14" s="423"/>
      <c r="CH14" s="423"/>
      <c r="CI14" s="423"/>
      <c r="CJ14" s="423"/>
      <c r="CK14" s="423"/>
      <c r="CL14" s="423"/>
      <c r="CM14" s="423"/>
      <c r="CN14" s="424"/>
      <c r="CW14" s="423"/>
      <c r="CX14" s="423"/>
      <c r="DA14" s="423"/>
      <c r="DB14" s="423"/>
      <c r="DD14" s="423"/>
      <c r="DE14" s="423"/>
      <c r="DF14" s="423"/>
      <c r="DG14" s="423"/>
      <c r="DH14" s="423"/>
      <c r="DI14" s="423"/>
      <c r="DM14" s="423"/>
      <c r="DN14" s="423"/>
      <c r="DO14" s="425" t="s">
        <v>394</v>
      </c>
      <c r="DP14" s="425">
        <f>STDEV(DP3:DP7)</f>
        <v>0.26690992472981812</v>
      </c>
      <c r="DQ14" s="425">
        <f>STDEV(DQ3:DQ7)</f>
        <v>0.11040788988229633</v>
      </c>
      <c r="DR14" s="425">
        <f>STDEV(DR3:DR7)</f>
        <v>1.8512574143071871E-2</v>
      </c>
      <c r="DS14" s="425">
        <f>STDEV(DS3:DS7)</f>
        <v>6.8954664501283222E-2</v>
      </c>
      <c r="DT14" s="425">
        <f>STDEV(DT3:DT7)</f>
        <v>5.5360584115692166</v>
      </c>
    </row>
    <row r="15" spans="1:126" x14ac:dyDescent="0.2">
      <c r="J15" s="423"/>
      <c r="P15" s="423"/>
      <c r="V15" s="423"/>
      <c r="AB15" s="423"/>
      <c r="BP15" s="423"/>
      <c r="BR15" s="423"/>
      <c r="BU15" s="423"/>
      <c r="BW15" s="423"/>
      <c r="BY15" s="423"/>
      <c r="BZ15" s="423"/>
      <c r="CA15" s="423"/>
      <c r="CB15" s="423"/>
      <c r="CC15" s="423"/>
      <c r="CD15" s="423"/>
      <c r="CE15" s="423"/>
      <c r="CF15" s="423"/>
      <c r="CG15" s="423"/>
      <c r="CH15" s="423"/>
      <c r="CI15" s="423"/>
      <c r="CJ15" s="423"/>
      <c r="CK15" s="423"/>
      <c r="CL15" s="423"/>
      <c r="CM15" s="423"/>
      <c r="CN15" s="424"/>
      <c r="CW15" s="423"/>
      <c r="CX15" s="423"/>
      <c r="DA15" s="423"/>
      <c r="DB15" s="423"/>
      <c r="DD15" s="423"/>
      <c r="DE15" s="423"/>
      <c r="DF15" s="423"/>
      <c r="DG15" s="423"/>
      <c r="DH15" s="423"/>
      <c r="DI15" s="423"/>
      <c r="DM15" s="423"/>
      <c r="DN15" s="423"/>
      <c r="DO15" s="425" t="s">
        <v>436</v>
      </c>
      <c r="DP15" s="425">
        <f>DP14/SQRT(4)</f>
        <v>0.13345496236490906</v>
      </c>
      <c r="DQ15" s="425">
        <f>DQ14/SQRT(4)</f>
        <v>5.5203944941148164E-2</v>
      </c>
      <c r="DR15" s="425">
        <f>DR14/SQRT(4)</f>
        <v>9.2562870715359354E-3</v>
      </c>
      <c r="DS15" s="425">
        <f>DS14/SQRT(4)</f>
        <v>3.4477332250641611E-2</v>
      </c>
      <c r="DT15" s="425">
        <f>DT14/SQRT(4)</f>
        <v>2.7680292057846083</v>
      </c>
    </row>
    <row r="16" spans="1:126" x14ac:dyDescent="0.2">
      <c r="J16" s="423"/>
      <c r="P16" s="423"/>
      <c r="V16" s="423"/>
      <c r="AB16" s="423"/>
      <c r="BP16" s="423"/>
      <c r="BR16" s="423"/>
      <c r="BU16" s="423"/>
      <c r="BW16" s="423"/>
      <c r="BY16" s="423"/>
      <c r="BZ16" s="423"/>
      <c r="CA16" s="423"/>
      <c r="CB16" s="423"/>
      <c r="CC16" s="423"/>
      <c r="CD16" s="423"/>
      <c r="CE16" s="423"/>
      <c r="CF16" s="423"/>
      <c r="CG16" s="423"/>
      <c r="CH16" s="423"/>
      <c r="CI16" s="423"/>
      <c r="CJ16" s="423"/>
      <c r="CK16" s="423"/>
      <c r="CL16" s="423"/>
      <c r="CM16" s="423"/>
      <c r="CN16" s="424"/>
      <c r="CW16" s="423"/>
      <c r="CX16" s="423"/>
      <c r="DA16" s="423"/>
      <c r="DB16" s="423"/>
      <c r="DD16" s="423"/>
      <c r="DE16" s="423"/>
      <c r="DF16" s="423"/>
      <c r="DG16" s="423"/>
      <c r="DH16" s="423"/>
      <c r="DI16" s="423"/>
      <c r="DM16" s="423"/>
      <c r="DN16" s="423"/>
      <c r="DT16" s="427"/>
    </row>
    <row r="17" spans="1:126" s="494" customFormat="1" x14ac:dyDescent="0.2">
      <c r="A17" s="494">
        <v>1996</v>
      </c>
      <c r="B17" s="494" t="s">
        <v>483</v>
      </c>
      <c r="C17" s="494">
        <v>1650</v>
      </c>
      <c r="D17" s="494" t="s">
        <v>430</v>
      </c>
      <c r="E17" s="494">
        <v>1</v>
      </c>
      <c r="F17" s="494" t="s">
        <v>418</v>
      </c>
      <c r="G17" s="494">
        <v>-9.0103804059999995</v>
      </c>
      <c r="H17" s="494">
        <v>5.2786279999999996E-3</v>
      </c>
      <c r="I17" s="494">
        <v>30</v>
      </c>
      <c r="J17" s="494">
        <v>3.22398E-4</v>
      </c>
      <c r="K17" s="494">
        <v>0.28909798799999997</v>
      </c>
      <c r="L17" s="494">
        <v>2.1817709999999999E-3</v>
      </c>
      <c r="M17" s="494">
        <v>-5.5431350349999997</v>
      </c>
      <c r="N17" s="494">
        <v>6.7357609999999998E-3</v>
      </c>
      <c r="O17" s="494">
        <v>30</v>
      </c>
      <c r="P17" s="494">
        <v>-2.4351E-4</v>
      </c>
      <c r="Q17" s="494">
        <v>0.101289122</v>
      </c>
      <c r="R17" s="494">
        <v>8.6528935000000001E-2</v>
      </c>
      <c r="S17" s="494">
        <v>1.187696831</v>
      </c>
      <c r="T17" s="494">
        <v>4.9068269999999999E-3</v>
      </c>
      <c r="U17" s="494">
        <v>30</v>
      </c>
      <c r="V17" s="494">
        <v>2.9564000000000001E-4</v>
      </c>
      <c r="W17" s="494">
        <v>0.28133671599999999</v>
      </c>
      <c r="X17" s="494">
        <v>2.5687000000000001E-3</v>
      </c>
      <c r="Y17" s="494">
        <v>1.871378848</v>
      </c>
      <c r="Z17" s="494">
        <v>6.7756120000000003E-3</v>
      </c>
      <c r="AA17" s="494">
        <v>30</v>
      </c>
      <c r="AB17" s="494">
        <v>-2.44405E-4</v>
      </c>
      <c r="AC17" s="494">
        <v>0.100837842</v>
      </c>
      <c r="AD17" s="494">
        <v>8.7272365000000005E-2</v>
      </c>
      <c r="AE17" s="494">
        <v>2.8478581279999999</v>
      </c>
      <c r="AF17" s="494">
        <v>6.4431298999999997E-2</v>
      </c>
      <c r="AG17" s="494">
        <v>29</v>
      </c>
      <c r="AH17" s="494">
        <v>-3.7686700000000002E-4</v>
      </c>
      <c r="AI17" s="494">
        <v>2.7382510000000001E-3</v>
      </c>
      <c r="AJ17" s="494">
        <v>0.78747904300000005</v>
      </c>
      <c r="AK17" s="494">
        <v>-0.20912508699999999</v>
      </c>
      <c r="AL17" s="494">
        <v>8.3740944999999997E-2</v>
      </c>
      <c r="AM17" s="494">
        <v>30</v>
      </c>
      <c r="AN17" s="494">
        <v>-1.11279E-4</v>
      </c>
      <c r="AO17" s="494">
        <v>1.36852E-4</v>
      </c>
      <c r="AP17" s="494">
        <v>0.951077383</v>
      </c>
      <c r="AQ17" s="494">
        <v>3.8439000980000002</v>
      </c>
      <c r="AR17" s="494">
        <v>0.27685563499999999</v>
      </c>
      <c r="AS17" s="494">
        <v>30</v>
      </c>
      <c r="AT17" s="494">
        <v>7.6040129999999997E-3</v>
      </c>
      <c r="AU17" s="494">
        <v>5.8462949E-2</v>
      </c>
      <c r="AV17" s="494">
        <v>0.197999645</v>
      </c>
      <c r="AW17" s="494">
        <v>9.7286081999999996E-2</v>
      </c>
      <c r="AX17" s="494">
        <v>0.27439715199999998</v>
      </c>
      <c r="AY17" s="494">
        <v>30</v>
      </c>
      <c r="AZ17" s="494">
        <v>8.0634750000000005E-3</v>
      </c>
      <c r="BA17" s="494">
        <v>6.6924782000000002E-2</v>
      </c>
      <c r="BB17" s="494">
        <v>0.167472387</v>
      </c>
      <c r="BC17" s="494">
        <v>9.4702695139999999</v>
      </c>
      <c r="BD17" s="494">
        <v>7.5894268550000001</v>
      </c>
      <c r="BE17" s="494">
        <v>30</v>
      </c>
      <c r="BF17" s="494">
        <v>0.14037556400000001</v>
      </c>
      <c r="BG17" s="494">
        <v>2.6513482000000001E-2</v>
      </c>
      <c r="BH17" s="494">
        <v>0.38994517400000001</v>
      </c>
      <c r="BI17" s="494">
        <v>4.4967199100000004</v>
      </c>
      <c r="BJ17" s="494">
        <v>7.5535030599999997</v>
      </c>
      <c r="BK17" s="494">
        <v>30</v>
      </c>
      <c r="BL17" s="494">
        <v>0.13984946700000001</v>
      </c>
      <c r="BM17" s="494">
        <v>2.6566020999999999E-2</v>
      </c>
      <c r="BN17" s="494">
        <v>0.38946953200000001</v>
      </c>
      <c r="BO17" s="494">
        <v>1.1826793E-2</v>
      </c>
      <c r="BP17" s="495">
        <v>2.48E-7</v>
      </c>
      <c r="BQ17" s="494">
        <v>1.1812763E-2</v>
      </c>
      <c r="BR17" s="495">
        <v>2.2100000000000001E-7</v>
      </c>
      <c r="BS17" s="494">
        <v>1.1863159999999999E-2</v>
      </c>
      <c r="BT17" s="494">
        <v>4.2507079999999997E-3</v>
      </c>
      <c r="BU17" s="495">
        <v>2.0100000000000001E-7</v>
      </c>
      <c r="BV17" s="494">
        <v>4.2427680000000001E-3</v>
      </c>
      <c r="BW17" s="495">
        <v>2.1E-7</v>
      </c>
      <c r="BX17" s="494">
        <v>4.1624649999999997E-3</v>
      </c>
      <c r="BY17" s="495">
        <v>4.8199999999999999E-5</v>
      </c>
      <c r="BZ17" s="495">
        <v>6.1799999999999998E-9</v>
      </c>
      <c r="CA17" s="495">
        <v>4.8000000000000001E-5</v>
      </c>
      <c r="CB17" s="495">
        <v>5.2300000000000003E-9</v>
      </c>
      <c r="CC17" s="495">
        <v>4.7599999999999998E-5</v>
      </c>
      <c r="CD17" s="495">
        <v>4.6800000000000001E-6</v>
      </c>
      <c r="CE17" s="495">
        <v>7.2E-9</v>
      </c>
      <c r="CF17" s="495">
        <v>4.6600000000000003E-6</v>
      </c>
      <c r="CG17" s="495">
        <v>6.8400000000000004E-9</v>
      </c>
      <c r="CH17" s="495">
        <v>4.33E-6</v>
      </c>
      <c r="CI17" s="495">
        <v>9.2399999999999994E-8</v>
      </c>
      <c r="CJ17" s="495">
        <v>2.3699999999999999E-9</v>
      </c>
      <c r="CK17" s="495">
        <v>9.16E-8</v>
      </c>
      <c r="CL17" s="495">
        <v>2.23E-9</v>
      </c>
      <c r="CM17" s="495">
        <v>4.8E-8</v>
      </c>
      <c r="CN17" s="496">
        <v>45203.780555555553</v>
      </c>
      <c r="CO17" s="494">
        <v>1696470245</v>
      </c>
      <c r="CP17" s="494" t="s">
        <v>420</v>
      </c>
      <c r="CQ17" s="494" t="s">
        <v>416</v>
      </c>
      <c r="CR17" s="494" t="s">
        <v>415</v>
      </c>
      <c r="CS17" s="494">
        <v>2630</v>
      </c>
      <c r="CT17" s="494">
        <v>13.6412</v>
      </c>
      <c r="CU17" s="494">
        <v>2.2399999999999998E-3</v>
      </c>
      <c r="CV17" s="494">
        <v>1</v>
      </c>
      <c r="CW17" s="495">
        <v>2.7100000000000001E-8</v>
      </c>
      <c r="CX17" s="495">
        <v>1.05E-7</v>
      </c>
      <c r="CY17" s="494">
        <v>3</v>
      </c>
      <c r="CZ17" s="494">
        <v>30</v>
      </c>
      <c r="DA17" s="495">
        <v>1.92E-7</v>
      </c>
      <c r="DB17" s="495">
        <v>6.0100000000000002E-8</v>
      </c>
      <c r="DC17" s="494">
        <v>0.1092649</v>
      </c>
      <c r="DD17" s="495">
        <v>5.7800000000000001E-8</v>
      </c>
      <c r="DE17" s="495">
        <v>5.1399999999999997E-8</v>
      </c>
      <c r="DF17" s="495">
        <v>4.5499999999999997E-8</v>
      </c>
      <c r="DG17" s="495">
        <v>2.79E-12</v>
      </c>
      <c r="DH17" s="495">
        <v>2.4799999999999999E-12</v>
      </c>
      <c r="DI17" s="495">
        <v>2.1900000000000002E-12</v>
      </c>
      <c r="DJ17" s="494">
        <v>-1.2942763159999999</v>
      </c>
      <c r="DK17" s="494">
        <v>-0.67880807899999995</v>
      </c>
      <c r="DL17" s="494">
        <v>-8.1168203999999994E-2</v>
      </c>
      <c r="DM17" s="495">
        <v>-4.5399999999999998E-10</v>
      </c>
      <c r="DN17" s="495">
        <v>-4.35E-10</v>
      </c>
      <c r="DO17" s="494">
        <v>5.1867679999999996E-3</v>
      </c>
      <c r="DP17" s="494">
        <v>-9.3682230349999998</v>
      </c>
      <c r="DQ17" s="494">
        <v>-4.9261525339999999</v>
      </c>
      <c r="DR17" s="494">
        <v>0.68607153499999995</v>
      </c>
      <c r="DS17" s="494">
        <v>0.81629940199999995</v>
      </c>
      <c r="DT17" s="491">
        <f>SQRT((0.0391*10^6)/(DR17-0.154))-273.15</f>
        <v>-2.0663241530590994</v>
      </c>
    </row>
    <row r="18" spans="1:126" s="494" customFormat="1" x14ac:dyDescent="0.2">
      <c r="A18" s="494">
        <v>2015</v>
      </c>
      <c r="B18" s="494" t="s">
        <v>482</v>
      </c>
      <c r="C18" s="494">
        <v>1650</v>
      </c>
      <c r="D18" s="494" t="s">
        <v>430</v>
      </c>
      <c r="E18" s="494">
        <v>1</v>
      </c>
      <c r="F18" s="494" t="s">
        <v>481</v>
      </c>
      <c r="G18" s="494">
        <v>-9.0194645169999994</v>
      </c>
      <c r="H18" s="494">
        <v>7.0913249999999999E-3</v>
      </c>
      <c r="I18" s="494">
        <v>30</v>
      </c>
      <c r="J18" s="494">
        <v>-5.5601100000000003E-4</v>
      </c>
      <c r="K18" s="494">
        <v>0.47644658200000001</v>
      </c>
      <c r="L18" s="495">
        <v>2.4300000000000001E-5</v>
      </c>
      <c r="M18" s="494">
        <v>-5.4378284590000003</v>
      </c>
      <c r="N18" s="494">
        <v>0.15594017600000001</v>
      </c>
      <c r="O18" s="494">
        <v>30</v>
      </c>
      <c r="P18" s="494">
        <v>1.7004734000000001E-2</v>
      </c>
      <c r="Q18" s="494">
        <v>0.921563668</v>
      </c>
      <c r="R18" s="495">
        <v>5.1799999999999999E-17</v>
      </c>
      <c r="S18" s="494">
        <v>1.1828243249999999</v>
      </c>
      <c r="T18" s="494">
        <v>4.3688030000000001E-3</v>
      </c>
      <c r="U18" s="494">
        <v>30</v>
      </c>
      <c r="V18" s="495">
        <v>7.2700000000000005E-5</v>
      </c>
      <c r="W18" s="494">
        <v>2.1433901000000002E-2</v>
      </c>
      <c r="X18" s="494">
        <v>0.44012405599999999</v>
      </c>
      <c r="Y18" s="494">
        <v>1.977347137</v>
      </c>
      <c r="Z18" s="494">
        <v>0.15693707100000001</v>
      </c>
      <c r="AA18" s="494">
        <v>30</v>
      </c>
      <c r="AB18" s="494">
        <v>1.7113507999999999E-2</v>
      </c>
      <c r="AC18" s="494">
        <v>0.92157080499999999</v>
      </c>
      <c r="AD18" s="495">
        <v>5.1700000000000001E-17</v>
      </c>
      <c r="AE18" s="494">
        <v>2.9042181720000002</v>
      </c>
      <c r="AF18" s="494">
        <v>8.4612506000000004E-2</v>
      </c>
      <c r="AG18" s="494">
        <v>30</v>
      </c>
      <c r="AH18" s="494">
        <v>5.582376E-3</v>
      </c>
      <c r="AI18" s="494">
        <v>0.337342211</v>
      </c>
      <c r="AJ18" s="494">
        <v>7.6468E-4</v>
      </c>
      <c r="AK18" s="494">
        <v>-0.26168264499999999</v>
      </c>
      <c r="AL18" s="494">
        <v>0.124960486</v>
      </c>
      <c r="AM18" s="494">
        <v>30</v>
      </c>
      <c r="AN18" s="494">
        <v>-1.1295098E-2</v>
      </c>
      <c r="AO18" s="494">
        <v>0.63319326600000003</v>
      </c>
      <c r="AP18" s="495">
        <v>1.4700000000000001E-7</v>
      </c>
      <c r="AQ18" s="494">
        <v>4.4927744240000003</v>
      </c>
      <c r="AR18" s="494">
        <v>0.80553183900000003</v>
      </c>
      <c r="AS18" s="494">
        <v>30</v>
      </c>
      <c r="AT18" s="494">
        <v>8.1339048999999997E-2</v>
      </c>
      <c r="AU18" s="494">
        <v>0.79019533399999997</v>
      </c>
      <c r="AV18" s="495">
        <v>5.3399999999999998E-11</v>
      </c>
      <c r="AW18" s="494">
        <v>0.531923229</v>
      </c>
      <c r="AX18" s="494">
        <v>0.53069595400000003</v>
      </c>
      <c r="AY18" s="494">
        <v>30</v>
      </c>
      <c r="AZ18" s="494">
        <v>4.6841938999999999E-2</v>
      </c>
      <c r="BA18" s="494">
        <v>0.60378161600000002</v>
      </c>
      <c r="BB18" s="495">
        <v>4.4299999999999998E-7</v>
      </c>
      <c r="BC18" s="494">
        <v>22.150380049999999</v>
      </c>
      <c r="BD18" s="494">
        <v>8.7421161830000003</v>
      </c>
      <c r="BE18" s="494">
        <v>30</v>
      </c>
      <c r="BF18" s="494">
        <v>0.50192538600000003</v>
      </c>
      <c r="BG18" s="494">
        <v>0.25547409999999998</v>
      </c>
      <c r="BH18" s="494">
        <v>4.3835879999999999E-3</v>
      </c>
      <c r="BI18" s="494">
        <v>16.906827759999999</v>
      </c>
      <c r="BJ18" s="494">
        <v>8.5153102720000007</v>
      </c>
      <c r="BK18" s="494">
        <v>30</v>
      </c>
      <c r="BL18" s="494">
        <v>0.46509880399999998</v>
      </c>
      <c r="BM18" s="494">
        <v>0.23120179099999999</v>
      </c>
      <c r="BN18" s="494">
        <v>7.1513519999999997E-3</v>
      </c>
      <c r="BO18" s="494">
        <v>1.1827192E-2</v>
      </c>
      <c r="BP18" s="495">
        <v>1.3E-7</v>
      </c>
      <c r="BQ18" s="494">
        <v>1.1813219E-2</v>
      </c>
      <c r="BR18" s="495">
        <v>1.2599999999999999E-7</v>
      </c>
      <c r="BS18" s="494">
        <v>1.1863102E-2</v>
      </c>
      <c r="BT18" s="494">
        <v>4.2517850000000001E-3</v>
      </c>
      <c r="BU18" s="495">
        <v>8.7199999999999997E-7</v>
      </c>
      <c r="BV18" s="494">
        <v>4.2433949999999996E-3</v>
      </c>
      <c r="BW18" s="495">
        <v>2.1299999999999999E-7</v>
      </c>
      <c r="BX18" s="494">
        <v>4.1629060000000001E-3</v>
      </c>
      <c r="BY18" s="495">
        <v>4.8199999999999999E-5</v>
      </c>
      <c r="BZ18" s="495">
        <v>1.0999999999999999E-8</v>
      </c>
      <c r="CA18" s="495">
        <v>4.8099999999999997E-5</v>
      </c>
      <c r="CB18" s="495">
        <v>8.3899999999999994E-9</v>
      </c>
      <c r="CC18" s="495">
        <v>4.7599999999999998E-5</v>
      </c>
      <c r="CD18" s="495">
        <v>4.6999999999999999E-6</v>
      </c>
      <c r="CE18" s="495">
        <v>1.16E-8</v>
      </c>
      <c r="CF18" s="495">
        <v>4.6800000000000001E-6</v>
      </c>
      <c r="CG18" s="495">
        <v>8.1300000000000007E-9</v>
      </c>
      <c r="CH18" s="495">
        <v>4.33E-6</v>
      </c>
      <c r="CI18" s="495">
        <v>9.9999999999999995E-8</v>
      </c>
      <c r="CJ18" s="495">
        <v>3.29E-9</v>
      </c>
      <c r="CK18" s="495">
        <v>9.83E-8</v>
      </c>
      <c r="CL18" s="495">
        <v>2.7999999999999998E-9</v>
      </c>
      <c r="CM18" s="495">
        <v>4.8599999999999998E-8</v>
      </c>
      <c r="CN18" s="496">
        <v>45204.695138888892</v>
      </c>
      <c r="CO18" s="494">
        <v>1696549301</v>
      </c>
      <c r="CP18" s="494" t="s">
        <v>420</v>
      </c>
      <c r="CQ18" s="494" t="s">
        <v>416</v>
      </c>
      <c r="CR18" s="494" t="s">
        <v>415</v>
      </c>
      <c r="CS18" s="494">
        <v>2527</v>
      </c>
      <c r="CT18" s="494">
        <v>11.50497</v>
      </c>
      <c r="CU18" s="494">
        <v>2.4499999999999999E-3</v>
      </c>
      <c r="CV18" s="494">
        <v>1</v>
      </c>
      <c r="CW18" s="495">
        <v>2.8600000000000001E-8</v>
      </c>
      <c r="CX18" s="495">
        <v>1.05E-7</v>
      </c>
      <c r="CY18" s="494">
        <v>3</v>
      </c>
      <c r="CZ18" s="494">
        <v>30</v>
      </c>
      <c r="DA18" s="495">
        <v>1.5300000000000001E-7</v>
      </c>
      <c r="DB18" s="495">
        <v>5.03E-8</v>
      </c>
      <c r="DC18" s="494">
        <v>0.14195150000000001</v>
      </c>
      <c r="DD18" s="495">
        <v>4.8400000000000003E-8</v>
      </c>
      <c r="DE18" s="495">
        <v>4.3299999999999997E-8</v>
      </c>
      <c r="DF18" s="495">
        <v>3.84E-8</v>
      </c>
      <c r="DG18" s="495">
        <v>2.33E-12</v>
      </c>
      <c r="DH18" s="495">
        <v>2.08E-12</v>
      </c>
      <c r="DI18" s="495">
        <v>1.85E-12</v>
      </c>
      <c r="DJ18" s="494">
        <v>-1.5650261969999999</v>
      </c>
      <c r="DK18" s="494">
        <v>-0.82915009200000001</v>
      </c>
      <c r="DL18" s="494">
        <v>-0.16837027800000001</v>
      </c>
      <c r="DM18" s="495">
        <v>-3.58E-10</v>
      </c>
      <c r="DN18" s="495">
        <v>-3.4100000000000001E-10</v>
      </c>
      <c r="DO18" s="494">
        <v>4.5528180000000001E-3</v>
      </c>
      <c r="DP18" s="494">
        <v>-9.3773337310000002</v>
      </c>
      <c r="DQ18" s="494">
        <v>-4.8211718760000002</v>
      </c>
      <c r="DR18" s="494">
        <v>0.63152958400000003</v>
      </c>
      <c r="DS18" s="494">
        <v>1.579161705</v>
      </c>
      <c r="DT18" s="491">
        <f>SQRT((0.0391*10^6)/(DR18-0.154))-273.15</f>
        <v>12.996367809910225</v>
      </c>
    </row>
    <row r="19" spans="1:126" s="490" customFormat="1" x14ac:dyDescent="0.2">
      <c r="A19" s="490">
        <v>2029</v>
      </c>
      <c r="B19" s="490" t="s">
        <v>480</v>
      </c>
      <c r="C19" s="490">
        <v>1650</v>
      </c>
      <c r="D19" s="490" t="s">
        <v>430</v>
      </c>
      <c r="E19" s="490">
        <v>1</v>
      </c>
      <c r="F19" s="490" t="s">
        <v>418</v>
      </c>
      <c r="G19" s="490">
        <v>-7.6639067880000002</v>
      </c>
      <c r="H19" s="490">
        <v>5.4460380000000003E-3</v>
      </c>
      <c r="I19" s="490">
        <v>30</v>
      </c>
      <c r="J19" s="490">
        <v>1.6118400000000001E-4</v>
      </c>
      <c r="K19" s="490">
        <v>6.7886873E-2</v>
      </c>
      <c r="L19" s="490">
        <v>0.16434275000000001</v>
      </c>
      <c r="M19" s="490">
        <v>-6.7928002210000002</v>
      </c>
      <c r="N19" s="490">
        <v>1.1042188E-2</v>
      </c>
      <c r="O19" s="490">
        <v>30</v>
      </c>
      <c r="P19" s="490">
        <v>-5.8452799999999996E-4</v>
      </c>
      <c r="Q19" s="490">
        <v>0.21717123499999999</v>
      </c>
      <c r="R19" s="490">
        <v>9.4446979999999996E-3</v>
      </c>
      <c r="S19" s="490">
        <v>2.4142305839999998</v>
      </c>
      <c r="T19" s="490">
        <v>5.1343919999999998E-3</v>
      </c>
      <c r="U19" s="490">
        <v>30</v>
      </c>
      <c r="V19" s="490">
        <v>1.3153899999999999E-4</v>
      </c>
      <c r="W19" s="490">
        <v>5.0866408000000002E-2</v>
      </c>
      <c r="X19" s="490">
        <v>0.23078644700000001</v>
      </c>
      <c r="Y19" s="490">
        <v>0.61647162899999997</v>
      </c>
      <c r="Z19" s="490">
        <v>1.1113058E-2</v>
      </c>
      <c r="AA19" s="490">
        <v>30</v>
      </c>
      <c r="AB19" s="490">
        <v>-5.8796900000000004E-4</v>
      </c>
      <c r="AC19" s="490">
        <v>0.21694190599999999</v>
      </c>
      <c r="AD19" s="490">
        <v>9.4874820000000002E-3</v>
      </c>
      <c r="AE19" s="490">
        <v>2.8453614869999999</v>
      </c>
      <c r="AF19" s="490">
        <v>6.0100171000000001E-2</v>
      </c>
      <c r="AG19" s="490">
        <v>30</v>
      </c>
      <c r="AH19" s="490">
        <v>2.5725100000000001E-4</v>
      </c>
      <c r="AI19" s="490">
        <v>1.419923E-3</v>
      </c>
      <c r="AJ19" s="490">
        <v>0.84328599199999998</v>
      </c>
      <c r="AK19" s="490">
        <v>-0.25280651700000001</v>
      </c>
      <c r="AL19" s="490">
        <v>5.8642387999999997E-2</v>
      </c>
      <c r="AM19" s="490">
        <v>30</v>
      </c>
      <c r="AN19" s="490">
        <v>6.9857899999999995E-4</v>
      </c>
      <c r="AO19" s="490">
        <v>1.0997877E-2</v>
      </c>
      <c r="AP19" s="490">
        <v>0.58127848999999998</v>
      </c>
      <c r="AQ19" s="490">
        <v>1.233178055</v>
      </c>
      <c r="AR19" s="490">
        <v>0.25922928200000001</v>
      </c>
      <c r="AS19" s="490">
        <v>30</v>
      </c>
      <c r="AT19" s="490">
        <v>5.2473950000000002E-3</v>
      </c>
      <c r="AU19" s="490">
        <v>3.1755653000000002E-2</v>
      </c>
      <c r="AV19" s="490">
        <v>0.346118488</v>
      </c>
      <c r="AW19" s="490">
        <v>-1.2226899999999999E-4</v>
      </c>
      <c r="AX19" s="490">
        <v>0.261482785</v>
      </c>
      <c r="AY19" s="490">
        <v>30</v>
      </c>
      <c r="AZ19" s="490">
        <v>6.4161829999999998E-3</v>
      </c>
      <c r="BA19" s="490">
        <v>4.6662605000000003E-2</v>
      </c>
      <c r="BB19" s="490">
        <v>0.251592661</v>
      </c>
      <c r="BC19" s="490">
        <v>-10.195450749999999</v>
      </c>
      <c r="BD19" s="490">
        <v>5.5049719980000003</v>
      </c>
      <c r="BE19" s="490">
        <v>30</v>
      </c>
      <c r="BF19" s="490">
        <v>0.25725700899999998</v>
      </c>
      <c r="BG19" s="490">
        <v>0.16924892</v>
      </c>
      <c r="BH19" s="490">
        <v>2.3905678999999999E-2</v>
      </c>
      <c r="BI19" s="490">
        <v>-13.93184241</v>
      </c>
      <c r="BJ19" s="490">
        <v>5.485783584</v>
      </c>
      <c r="BK19" s="490">
        <v>30</v>
      </c>
      <c r="BL19" s="490">
        <v>0.25728126800000001</v>
      </c>
      <c r="BM19" s="490">
        <v>0.17046714800000001</v>
      </c>
      <c r="BN19" s="490">
        <v>2.3355773999999999E-2</v>
      </c>
      <c r="BO19" s="490">
        <v>1.184179E-2</v>
      </c>
      <c r="BP19" s="492">
        <v>3.3099999999999999E-7</v>
      </c>
      <c r="BQ19" s="490">
        <v>1.1813270000000001E-2</v>
      </c>
      <c r="BR19" s="492">
        <v>3.15E-7</v>
      </c>
      <c r="BS19" s="490">
        <v>1.1877693E-2</v>
      </c>
      <c r="BT19" s="490">
        <v>4.2453509999999996E-3</v>
      </c>
      <c r="BU19" s="492">
        <v>1.72E-7</v>
      </c>
      <c r="BV19" s="490">
        <v>4.2427360000000004E-3</v>
      </c>
      <c r="BW19" s="492">
        <v>1.92E-7</v>
      </c>
      <c r="BX19" s="490">
        <v>4.1572520000000002E-3</v>
      </c>
      <c r="BY19" s="492">
        <v>4.8199999999999999E-5</v>
      </c>
      <c r="BZ19" s="492">
        <v>3.4900000000000001E-9</v>
      </c>
      <c r="CA19" s="492">
        <v>4.8000000000000001E-5</v>
      </c>
      <c r="CB19" s="492">
        <v>2.5099999999999998E-9</v>
      </c>
      <c r="CC19" s="492">
        <v>4.7599999999999998E-5</v>
      </c>
      <c r="CD19" s="492">
        <v>4.6500000000000004E-6</v>
      </c>
      <c r="CE19" s="492">
        <v>6.6000000000000004E-9</v>
      </c>
      <c r="CF19" s="492">
        <v>4.6500000000000004E-6</v>
      </c>
      <c r="CG19" s="492">
        <v>6.3199999999999997E-9</v>
      </c>
      <c r="CH19" s="492">
        <v>4.3200000000000001E-6</v>
      </c>
      <c r="CI19" s="492">
        <v>8.6299999999999999E-8</v>
      </c>
      <c r="CJ19" s="492">
        <v>2.2900000000000002E-9</v>
      </c>
      <c r="CK19" s="492">
        <v>8.72E-8</v>
      </c>
      <c r="CL19" s="492">
        <v>2.11E-9</v>
      </c>
      <c r="CM19" s="492">
        <v>4.7099999999999998E-8</v>
      </c>
      <c r="CN19" s="493">
        <v>45205.556944444441</v>
      </c>
      <c r="CO19" s="490">
        <v>1696623777</v>
      </c>
      <c r="CP19" s="490" t="s">
        <v>422</v>
      </c>
      <c r="CQ19" s="490" t="s">
        <v>416</v>
      </c>
      <c r="CR19" s="490" t="s">
        <v>415</v>
      </c>
      <c r="CS19" s="490">
        <v>2607</v>
      </c>
      <c r="CT19" s="490">
        <v>41.595300000000002</v>
      </c>
      <c r="CU19" s="490">
        <v>2.5000000000000001E-3</v>
      </c>
      <c r="CV19" s="490">
        <v>2</v>
      </c>
      <c r="CW19" s="492">
        <v>2.8699999999999999E-8</v>
      </c>
      <c r="CX19" s="492">
        <v>1.05E-7</v>
      </c>
      <c r="CY19" s="490">
        <v>3</v>
      </c>
      <c r="CZ19" s="490">
        <v>30</v>
      </c>
      <c r="DA19" s="492">
        <v>2.65E-7</v>
      </c>
      <c r="DB19" s="492">
        <v>7.6700000000000005E-8</v>
      </c>
      <c r="DC19" s="490">
        <v>0.10977430000000001</v>
      </c>
      <c r="DD19" s="492">
        <v>6.7099999999999999E-8</v>
      </c>
      <c r="DE19" s="492">
        <v>5.9200000000000001E-8</v>
      </c>
      <c r="DF19" s="492">
        <v>5.2000000000000002E-8</v>
      </c>
      <c r="DG19" s="492">
        <v>3.2300000000000002E-12</v>
      </c>
      <c r="DH19" s="492">
        <v>2.8500000000000002E-12</v>
      </c>
      <c r="DI19" s="492">
        <v>2.4999999999999998E-12</v>
      </c>
      <c r="DJ19" s="490">
        <v>-1.3839814260000001</v>
      </c>
      <c r="DK19" s="490">
        <v>-0.793166127</v>
      </c>
      <c r="DL19" s="490">
        <v>-0.27550998999999998</v>
      </c>
      <c r="DM19" s="492">
        <v>-5.7E-10</v>
      </c>
      <c r="DN19" s="492">
        <v>-5.5299999999999995E-10</v>
      </c>
      <c r="DO19" s="490">
        <v>1.5955236000000001E-2</v>
      </c>
      <c r="DP19" s="490">
        <v>-8.0178089010000004</v>
      </c>
      <c r="DQ19" s="490">
        <v>-6.1719500739999997</v>
      </c>
      <c r="DR19" s="490">
        <v>0.64067337499999999</v>
      </c>
      <c r="DS19" s="490">
        <v>0.57278227500000001</v>
      </c>
      <c r="DT19" s="491">
        <f>SQRT((0.0391*10^6)/(DR19-0.154))-273.15</f>
        <v>10.295512062427179</v>
      </c>
    </row>
    <row r="20" spans="1:126" x14ac:dyDescent="0.2">
      <c r="BP20" s="423"/>
      <c r="BR20" s="423"/>
      <c r="BU20" s="423"/>
      <c r="BW20" s="423"/>
      <c r="BY20" s="423"/>
      <c r="BZ20" s="423"/>
      <c r="CA20" s="423"/>
      <c r="CB20" s="423"/>
      <c r="CC20" s="423"/>
      <c r="CD20" s="423"/>
      <c r="CE20" s="423"/>
      <c r="CF20" s="423"/>
      <c r="CG20" s="423"/>
      <c r="CH20" s="423"/>
      <c r="CI20" s="423"/>
      <c r="CJ20" s="423"/>
      <c r="CK20" s="423"/>
      <c r="CL20" s="423"/>
      <c r="CM20" s="423"/>
      <c r="CN20" s="424"/>
      <c r="CW20" s="423"/>
      <c r="CX20" s="423"/>
      <c r="DA20" s="423"/>
      <c r="DB20" s="423"/>
      <c r="DD20" s="423"/>
      <c r="DE20" s="423"/>
      <c r="DF20" s="423"/>
      <c r="DG20" s="423"/>
      <c r="DH20" s="423"/>
      <c r="DI20" s="423"/>
      <c r="DM20" s="423"/>
      <c r="DN20" s="423"/>
      <c r="DO20" s="425" t="s">
        <v>437</v>
      </c>
      <c r="DP20" s="425">
        <f>AVERAGE(DP17:DP19)</f>
        <v>-8.9211218890000001</v>
      </c>
      <c r="DQ20" s="425">
        <f>AVERAGE(DQ17:DQ19)</f>
        <v>-5.3064248279999999</v>
      </c>
      <c r="DR20" s="425">
        <f>AVERAGE(DR17:DR19)</f>
        <v>0.65275816466666658</v>
      </c>
      <c r="DS20" s="425">
        <f>AVERAGE(DS17:DS19)</f>
        <v>0.98941446066666661</v>
      </c>
      <c r="DT20" s="440">
        <f>AVERAGE(DT17:DT19)</f>
        <v>7.0751852397594348</v>
      </c>
    </row>
    <row r="21" spans="1:126" ht="90" customHeight="1" x14ac:dyDescent="0.2">
      <c r="BP21" s="423"/>
      <c r="BR21" s="423"/>
      <c r="BU21" s="423"/>
      <c r="BW21" s="423"/>
      <c r="BY21" s="423"/>
      <c r="BZ21" s="423"/>
      <c r="CA21" s="423"/>
      <c r="CB21" s="423"/>
      <c r="CC21" s="423"/>
      <c r="CD21" s="423"/>
      <c r="CE21" s="423"/>
      <c r="CF21" s="423"/>
      <c r="CG21" s="423"/>
      <c r="CH21" s="423"/>
      <c r="CI21" s="423"/>
      <c r="CJ21" s="423"/>
      <c r="CK21" s="423"/>
      <c r="CL21" s="423"/>
      <c r="CM21" s="423"/>
      <c r="CN21" s="424"/>
      <c r="CW21" s="423"/>
      <c r="CX21" s="423"/>
      <c r="DA21" s="423"/>
      <c r="DB21" s="423"/>
      <c r="DD21" s="423"/>
      <c r="DE21" s="423"/>
      <c r="DF21" s="423"/>
      <c r="DG21" s="423"/>
      <c r="DH21" s="423"/>
      <c r="DI21" s="423"/>
      <c r="DM21" s="541" t="s">
        <v>663</v>
      </c>
      <c r="DN21" s="423"/>
      <c r="DO21" s="425" t="s">
        <v>394</v>
      </c>
      <c r="DP21" s="425">
        <f>STDEV(DP17:DP19)</f>
        <v>0.78230525813937668</v>
      </c>
      <c r="DQ21" s="425">
        <f>STDEV(DQ17:DQ19)</f>
        <v>0.75140248750989014</v>
      </c>
      <c r="DR21" s="425">
        <f>STDEV(DR17:DR19)</f>
        <v>2.9210232978996904E-2</v>
      </c>
      <c r="DS21" s="425">
        <f>STDEV(DS17:DS19)</f>
        <v>0.52504905193196361</v>
      </c>
      <c r="DT21" s="425">
        <f>STDEV(DT17:DT19)</f>
        <v>8.0311301151469454</v>
      </c>
      <c r="DV21" s="445" t="s">
        <v>479</v>
      </c>
    </row>
    <row r="22" spans="1:126" x14ac:dyDescent="0.2">
      <c r="BP22" s="423"/>
      <c r="BR22" s="423"/>
      <c r="BU22" s="423"/>
      <c r="BW22" s="423"/>
      <c r="BY22" s="423"/>
      <c r="BZ22" s="423"/>
      <c r="CA22" s="423"/>
      <c r="CB22" s="423"/>
      <c r="CC22" s="423"/>
      <c r="CD22" s="423"/>
      <c r="CE22" s="423"/>
      <c r="CF22" s="423"/>
      <c r="CG22" s="423"/>
      <c r="CH22" s="423"/>
      <c r="CI22" s="423"/>
      <c r="CJ22" s="423"/>
      <c r="CK22" s="423"/>
      <c r="CL22" s="423"/>
      <c r="CM22" s="423"/>
      <c r="CN22" s="424"/>
      <c r="CW22" s="423"/>
      <c r="CX22" s="423"/>
      <c r="DA22" s="423"/>
      <c r="DB22" s="423"/>
      <c r="DD22" s="423"/>
      <c r="DE22" s="423"/>
      <c r="DF22" s="423"/>
      <c r="DG22" s="423"/>
      <c r="DH22" s="423"/>
      <c r="DI22" s="423"/>
      <c r="DM22" s="423"/>
      <c r="DN22" s="423"/>
      <c r="DO22" s="425" t="s">
        <v>436</v>
      </c>
      <c r="DP22" s="425">
        <f>DP21/SQRT(4)</f>
        <v>0.39115262906968834</v>
      </c>
      <c r="DQ22" s="425">
        <f>DQ21/SQRT(4)</f>
        <v>0.37570124375494507</v>
      </c>
      <c r="DR22" s="425">
        <f>DR21/SQRT(4)</f>
        <v>1.4605116489498452E-2</v>
      </c>
      <c r="DS22" s="425">
        <f>DS21/SQRT(4)</f>
        <v>0.2625245259659818</v>
      </c>
      <c r="DT22" s="425">
        <f>DT21/SQRT(4)</f>
        <v>4.0155650575734727</v>
      </c>
    </row>
    <row r="23" spans="1:126" x14ac:dyDescent="0.2">
      <c r="BP23" s="423"/>
      <c r="BR23" s="423"/>
      <c r="BU23" s="423"/>
      <c r="BW23" s="423"/>
      <c r="BY23" s="423"/>
      <c r="BZ23" s="423"/>
      <c r="CA23" s="423"/>
      <c r="CB23" s="423"/>
      <c r="CC23" s="423"/>
      <c r="CD23" s="423"/>
      <c r="CE23" s="423"/>
      <c r="CF23" s="423"/>
      <c r="CG23" s="423"/>
      <c r="CH23" s="423"/>
      <c r="CI23" s="423"/>
      <c r="CJ23" s="423"/>
      <c r="CK23" s="423"/>
      <c r="CL23" s="423"/>
      <c r="CM23" s="423"/>
      <c r="CN23" s="424"/>
      <c r="CW23" s="423"/>
      <c r="CX23" s="423"/>
      <c r="DA23" s="423"/>
      <c r="DB23" s="423"/>
      <c r="DD23" s="423"/>
      <c r="DE23" s="423"/>
      <c r="DF23" s="423"/>
      <c r="DG23" s="423"/>
      <c r="DH23" s="423"/>
      <c r="DI23" s="423"/>
      <c r="DM23" s="423"/>
      <c r="DN23" s="423"/>
      <c r="DO23" s="425"/>
      <c r="DT23" s="440"/>
    </row>
    <row r="24" spans="1:126" x14ac:dyDescent="0.2">
      <c r="BP24" s="423"/>
      <c r="BR24" s="423"/>
      <c r="BU24" s="423"/>
      <c r="BW24" s="423"/>
      <c r="BY24" s="423"/>
      <c r="BZ24" s="423"/>
      <c r="CA24" s="423"/>
      <c r="CB24" s="423"/>
      <c r="CC24" s="423"/>
      <c r="CD24" s="423"/>
      <c r="CE24" s="423"/>
      <c r="CF24" s="423"/>
      <c r="CG24" s="423"/>
      <c r="CH24" s="423"/>
      <c r="CI24" s="423"/>
      <c r="CJ24" s="423"/>
      <c r="CK24" s="423"/>
      <c r="CL24" s="423"/>
      <c r="CM24" s="423"/>
      <c r="CN24" s="424"/>
      <c r="CW24" s="423"/>
      <c r="CX24" s="423"/>
      <c r="DA24" s="423"/>
      <c r="DB24" s="423"/>
      <c r="DD24" s="423"/>
      <c r="DE24" s="423"/>
      <c r="DF24" s="423"/>
      <c r="DG24" s="423"/>
      <c r="DH24" s="423"/>
      <c r="DI24" s="423"/>
      <c r="DM24" s="423"/>
      <c r="DN24" s="423"/>
      <c r="DO24" s="425" t="s">
        <v>437</v>
      </c>
      <c r="DP24" s="425">
        <f>AVERAGE(DP17:DP18)</f>
        <v>-9.372778383</v>
      </c>
      <c r="DQ24" s="425">
        <f>AVERAGE(DQ17:DQ18)</f>
        <v>-4.8736622050000005</v>
      </c>
      <c r="DR24" s="425">
        <f>AVERAGE(DR17:DR18)</f>
        <v>0.65880055949999994</v>
      </c>
      <c r="DS24" s="425">
        <f>AVERAGE(DS17:DS18)</f>
        <v>1.1977305535</v>
      </c>
      <c r="DT24" s="440">
        <f>AVERAGE(DT18:DT19)</f>
        <v>11.645939936168702</v>
      </c>
    </row>
    <row r="25" spans="1:126" x14ac:dyDescent="0.2">
      <c r="BP25" s="423"/>
      <c r="BR25" s="423"/>
      <c r="BU25" s="423"/>
      <c r="BW25" s="423"/>
      <c r="BY25" s="423"/>
      <c r="BZ25" s="423"/>
      <c r="CA25" s="423"/>
      <c r="CB25" s="423"/>
      <c r="CC25" s="423"/>
      <c r="CD25" s="423"/>
      <c r="CE25" s="423"/>
      <c r="CF25" s="423"/>
      <c r="CG25" s="423"/>
      <c r="CH25" s="423"/>
      <c r="CI25" s="423"/>
      <c r="CJ25" s="423"/>
      <c r="CK25" s="423"/>
      <c r="CL25" s="423"/>
      <c r="CM25" s="423"/>
      <c r="CN25" s="424"/>
      <c r="CW25" s="423"/>
      <c r="CX25" s="423"/>
      <c r="DA25" s="423"/>
      <c r="DB25" s="423"/>
      <c r="DD25" s="423"/>
      <c r="DE25" s="423"/>
      <c r="DF25" s="423"/>
      <c r="DG25" s="423"/>
      <c r="DH25" s="423"/>
      <c r="DI25" s="423"/>
      <c r="DM25" s="541" t="s">
        <v>662</v>
      </c>
      <c r="DN25" s="423"/>
      <c r="DO25" s="425" t="s">
        <v>394</v>
      </c>
      <c r="DP25" s="425">
        <f>STDEV(DP18:DP19)</f>
        <v>0.96132922648448804</v>
      </c>
      <c r="DQ25" s="425">
        <f>STDEV(DQ18:DQ19)</f>
        <v>0.95514442368475105</v>
      </c>
      <c r="DR25" s="425">
        <f>STDEV(DR18:DR19)</f>
        <v>6.4656366218524917E-3</v>
      </c>
      <c r="DS25" s="425">
        <f>STDEV(DS18:DS19)</f>
        <v>0.71161771939965246</v>
      </c>
      <c r="DT25" s="425">
        <f>STDEV(DT18:DT19)</f>
        <v>1.9097934140519237</v>
      </c>
    </row>
    <row r="26" spans="1:126" x14ac:dyDescent="0.2">
      <c r="BP26" s="423"/>
      <c r="BR26" s="423"/>
      <c r="BU26" s="423"/>
      <c r="BW26" s="423"/>
      <c r="BY26" s="423"/>
      <c r="BZ26" s="423"/>
      <c r="CA26" s="423"/>
      <c r="CB26" s="423"/>
      <c r="CC26" s="423"/>
      <c r="CD26" s="423"/>
      <c r="CE26" s="423"/>
      <c r="CF26" s="423"/>
      <c r="CG26" s="423"/>
      <c r="CH26" s="423"/>
      <c r="CI26" s="423"/>
      <c r="CJ26" s="423"/>
      <c r="CK26" s="423"/>
      <c r="CL26" s="423"/>
      <c r="CM26" s="423"/>
      <c r="CN26" s="424"/>
      <c r="CW26" s="423"/>
      <c r="CX26" s="423"/>
      <c r="DA26" s="423"/>
      <c r="DB26" s="423"/>
      <c r="DD26" s="423"/>
      <c r="DE26" s="423"/>
      <c r="DF26" s="423"/>
      <c r="DG26" s="423"/>
      <c r="DH26" s="423"/>
      <c r="DI26" s="423"/>
      <c r="DM26" s="423"/>
      <c r="DN26" s="423"/>
      <c r="DO26" s="425" t="s">
        <v>436</v>
      </c>
      <c r="DP26" s="425">
        <f>DP25/SQRT(4)</f>
        <v>0.48066461324224402</v>
      </c>
      <c r="DQ26" s="425">
        <f>DQ25/SQRT(4)</f>
        <v>0.47757221184237553</v>
      </c>
      <c r="DR26" s="425">
        <f>DR25/SQRT(4)</f>
        <v>3.2328183109262458E-3</v>
      </c>
      <c r="DS26" s="425">
        <f>DS25/SQRT(4)</f>
        <v>0.35580885969982623</v>
      </c>
      <c r="DT26" s="425">
        <f>DT25/SQRT(4)</f>
        <v>0.95489670702596186</v>
      </c>
    </row>
    <row r="27" spans="1:126" x14ac:dyDescent="0.2">
      <c r="BP27" s="423"/>
      <c r="BR27" s="423"/>
      <c r="BU27" s="423"/>
      <c r="BW27" s="423"/>
      <c r="BY27" s="423"/>
      <c r="BZ27" s="423"/>
      <c r="CA27" s="423"/>
      <c r="CB27" s="423"/>
      <c r="CC27" s="423"/>
      <c r="CD27" s="423"/>
      <c r="CE27" s="423"/>
      <c r="CF27" s="423"/>
      <c r="CG27" s="423"/>
      <c r="CH27" s="423"/>
      <c r="CI27" s="423"/>
      <c r="CJ27" s="423"/>
      <c r="CK27" s="423"/>
      <c r="CL27" s="423"/>
      <c r="CM27" s="423"/>
      <c r="CN27" s="424"/>
      <c r="CW27" s="423"/>
      <c r="CX27" s="423"/>
      <c r="DA27" s="423"/>
      <c r="DB27" s="423"/>
      <c r="DD27" s="423"/>
      <c r="DE27" s="423"/>
      <c r="DF27" s="423"/>
      <c r="DG27" s="423"/>
      <c r="DH27" s="423"/>
      <c r="DI27" s="423"/>
      <c r="DM27" s="423"/>
      <c r="DN27" s="423"/>
      <c r="DT27" s="427"/>
    </row>
    <row r="28" spans="1:126" s="471" customFormat="1" ht="17" x14ac:dyDescent="0.2">
      <c r="A28" s="471">
        <v>1994</v>
      </c>
      <c r="B28" s="471" t="s">
        <v>478</v>
      </c>
      <c r="C28" s="471">
        <v>2210</v>
      </c>
      <c r="D28" s="471" t="s">
        <v>430</v>
      </c>
      <c r="E28" s="471">
        <v>1</v>
      </c>
      <c r="F28" s="471" t="s">
        <v>418</v>
      </c>
      <c r="G28" s="471">
        <v>-7.1214997870000003</v>
      </c>
      <c r="H28" s="471">
        <v>5.188069E-3</v>
      </c>
      <c r="I28" s="471">
        <v>30</v>
      </c>
      <c r="J28" s="471">
        <v>2.9164000000000002E-4</v>
      </c>
      <c r="K28" s="471">
        <v>0.244898276</v>
      </c>
      <c r="L28" s="471">
        <v>5.4329260000000002E-3</v>
      </c>
      <c r="M28" s="471">
        <v>-6.6172153710000003</v>
      </c>
      <c r="N28" s="471">
        <v>1.0168096E-2</v>
      </c>
      <c r="O28" s="471">
        <v>30</v>
      </c>
      <c r="P28" s="471">
        <v>-4.1987799999999999E-4</v>
      </c>
      <c r="Q28" s="471">
        <v>0.13215044500000001</v>
      </c>
      <c r="R28" s="471">
        <v>4.8307819000000002E-2</v>
      </c>
      <c r="S28" s="471">
        <v>2.9321801839999999</v>
      </c>
      <c r="T28" s="471">
        <v>4.8537060000000002E-3</v>
      </c>
      <c r="U28" s="471">
        <v>30</v>
      </c>
      <c r="V28" s="471">
        <v>2.6041600000000002E-4</v>
      </c>
      <c r="W28" s="471">
        <v>0.22309580200000001</v>
      </c>
      <c r="X28" s="471">
        <v>8.4013960000000002E-3</v>
      </c>
      <c r="Y28" s="471">
        <v>0.79433564400000001</v>
      </c>
      <c r="Z28" s="471">
        <v>1.0232211999999999E-2</v>
      </c>
      <c r="AA28" s="471">
        <v>30</v>
      </c>
      <c r="AB28" s="471">
        <v>-4.2197900000000001E-4</v>
      </c>
      <c r="AC28" s="471">
        <v>0.13180883099999999</v>
      </c>
      <c r="AD28" s="471">
        <v>4.862027E-2</v>
      </c>
      <c r="AE28" s="471">
        <v>3.4882975919999999</v>
      </c>
      <c r="AF28" s="471">
        <v>7.8061823000000002E-2</v>
      </c>
      <c r="AG28" s="471">
        <v>30</v>
      </c>
      <c r="AH28" s="471">
        <v>1.64458E-4</v>
      </c>
      <c r="AI28" s="471">
        <v>3.43982E-4</v>
      </c>
      <c r="AJ28" s="471">
        <v>0.92250683600000005</v>
      </c>
      <c r="AK28" s="471">
        <v>-0.31965017699999998</v>
      </c>
      <c r="AL28" s="471">
        <v>7.8452594E-2</v>
      </c>
      <c r="AM28" s="471">
        <v>30</v>
      </c>
      <c r="AN28" s="471">
        <v>3.1035699999999998E-4</v>
      </c>
      <c r="AO28" s="471">
        <v>1.212856E-3</v>
      </c>
      <c r="AP28" s="471">
        <v>0.85503324800000002</v>
      </c>
      <c r="AQ28" s="471">
        <v>1.529016433</v>
      </c>
      <c r="AR28" s="471">
        <v>0.319986777</v>
      </c>
      <c r="AS28" s="471">
        <v>30</v>
      </c>
      <c r="AT28" s="471">
        <v>-1.626132E-3</v>
      </c>
      <c r="AU28" s="471">
        <v>2.0014709999999999E-3</v>
      </c>
      <c r="AV28" s="471">
        <v>0.81440723699999995</v>
      </c>
      <c r="AW28" s="471">
        <v>-6.0161911999999998E-2</v>
      </c>
      <c r="AX28" s="471">
        <v>0.32408746500000002</v>
      </c>
      <c r="AY28" s="471">
        <v>30</v>
      </c>
      <c r="AZ28" s="471">
        <v>-7.8058999999999995E-4</v>
      </c>
      <c r="BA28" s="471">
        <v>4.4959600000000002E-4</v>
      </c>
      <c r="BB28" s="471">
        <v>0.91144600499999995</v>
      </c>
      <c r="BC28" s="471">
        <v>-14.55534606</v>
      </c>
      <c r="BD28" s="471">
        <v>9.699094229</v>
      </c>
      <c r="BE28" s="471">
        <v>30</v>
      </c>
      <c r="BF28" s="471">
        <v>-0.18000180099999999</v>
      </c>
      <c r="BG28" s="471">
        <v>2.6692733E-2</v>
      </c>
      <c r="BH28" s="471">
        <v>0.38832568499999998</v>
      </c>
      <c r="BI28" s="471">
        <v>-19.15847174</v>
      </c>
      <c r="BJ28" s="471">
        <v>9.6493880310000009</v>
      </c>
      <c r="BK28" s="471">
        <v>30</v>
      </c>
      <c r="BL28" s="471">
        <v>-0.17861713100000001</v>
      </c>
      <c r="BM28" s="471">
        <v>2.6555127000000001E-2</v>
      </c>
      <c r="BN28" s="471">
        <v>0.389568093</v>
      </c>
      <c r="BO28" s="471">
        <v>1.18478E-2</v>
      </c>
      <c r="BP28" s="473">
        <v>5.7499999999999999E-8</v>
      </c>
      <c r="BQ28" s="471">
        <v>1.1813162E-2</v>
      </c>
      <c r="BR28" s="473">
        <v>7.1099999999999995E-8</v>
      </c>
      <c r="BS28" s="471">
        <v>1.188383E-2</v>
      </c>
      <c r="BT28" s="471">
        <v>4.2465990000000002E-3</v>
      </c>
      <c r="BU28" s="473">
        <v>4.51E-8</v>
      </c>
      <c r="BV28" s="471">
        <v>4.2432290000000003E-3</v>
      </c>
      <c r="BW28" s="473">
        <v>5.2700000000000002E-8</v>
      </c>
      <c r="BX28" s="471">
        <v>4.1579909999999998E-3</v>
      </c>
      <c r="BY28" s="473">
        <v>4.8199999999999999E-5</v>
      </c>
      <c r="BZ28" s="473">
        <v>5.04E-9</v>
      </c>
      <c r="CA28" s="473">
        <v>4.8099999999999997E-5</v>
      </c>
      <c r="CB28" s="473">
        <v>4.2800000000000001E-9</v>
      </c>
      <c r="CC28" s="473">
        <v>4.7700000000000001E-5</v>
      </c>
      <c r="CD28" s="473">
        <v>4.6800000000000001E-6</v>
      </c>
      <c r="CE28" s="473">
        <v>7.2699999999999999E-9</v>
      </c>
      <c r="CF28" s="473">
        <v>4.6800000000000001E-6</v>
      </c>
      <c r="CG28" s="473">
        <v>7.3E-9</v>
      </c>
      <c r="CH28" s="473">
        <v>4.3200000000000001E-6</v>
      </c>
      <c r="CI28" s="473">
        <v>9.6699999999999999E-8</v>
      </c>
      <c r="CJ28" s="473">
        <v>2.6700000000000001E-9</v>
      </c>
      <c r="CK28" s="473">
        <v>9.8099999999999998E-8</v>
      </c>
      <c r="CL28" s="473">
        <v>2.7999999999999998E-9</v>
      </c>
      <c r="CM28" s="473">
        <v>4.6900000000000003E-8</v>
      </c>
      <c r="CN28" s="474">
        <v>45203.696527777778</v>
      </c>
      <c r="CO28" s="471">
        <v>1696463033</v>
      </c>
      <c r="CP28" s="471" t="s">
        <v>420</v>
      </c>
      <c r="CQ28" s="471" t="s">
        <v>416</v>
      </c>
      <c r="CR28" s="471" t="s">
        <v>415</v>
      </c>
      <c r="CS28" s="471">
        <v>2665</v>
      </c>
      <c r="CT28" s="471">
        <v>73.180989999999994</v>
      </c>
      <c r="CU28" s="471">
        <v>2.5000000000000001E-3</v>
      </c>
      <c r="CV28" s="471">
        <v>3</v>
      </c>
      <c r="CW28" s="473">
        <v>2.7599999999999999E-8</v>
      </c>
      <c r="CX28" s="473">
        <v>1.05E-7</v>
      </c>
      <c r="CY28" s="471">
        <v>3</v>
      </c>
      <c r="CZ28" s="471">
        <v>30</v>
      </c>
      <c r="DA28" s="473">
        <v>2.65E-7</v>
      </c>
      <c r="DB28" s="473">
        <v>4.95E-8</v>
      </c>
      <c r="DC28" s="471">
        <v>0.29547669999999998</v>
      </c>
      <c r="DD28" s="473">
        <v>4.7799999999999998E-8</v>
      </c>
      <c r="DE28" s="473">
        <v>4.2699999999999999E-8</v>
      </c>
      <c r="DF28" s="473">
        <v>3.8000000000000003E-8</v>
      </c>
      <c r="DG28" s="473">
        <v>2.2999999999999999E-12</v>
      </c>
      <c r="DH28" s="473">
        <v>2.0600000000000001E-12</v>
      </c>
      <c r="DI28" s="473">
        <v>1.8300000000000001E-12</v>
      </c>
      <c r="DJ28" s="471">
        <v>-1.4174413669999999</v>
      </c>
      <c r="DK28" s="471">
        <v>-0.69177571299999996</v>
      </c>
      <c r="DL28" s="471">
        <v>-3.1928728000000003E-2</v>
      </c>
      <c r="DM28" s="473">
        <v>-3.5600000000000001E-10</v>
      </c>
      <c r="DN28" s="473">
        <v>-3.3700000000000003E-10</v>
      </c>
      <c r="DO28" s="471">
        <v>2.7460034000000001E-2</v>
      </c>
      <c r="DP28" s="471">
        <v>-7.4738145210000004</v>
      </c>
      <c r="DQ28" s="471">
        <v>-5.9969086489999999</v>
      </c>
      <c r="DR28" s="471">
        <v>0.57208710799999996</v>
      </c>
      <c r="DS28" s="471">
        <v>0.47874614199999999</v>
      </c>
      <c r="DT28" s="472">
        <f>SQRT((0.0391*10^6)/(DR28-0.154))-273.15</f>
        <v>32.662329310544521</v>
      </c>
      <c r="DV28" s="445" t="s">
        <v>475</v>
      </c>
    </row>
    <row r="29" spans="1:126" s="471" customFormat="1" x14ac:dyDescent="0.2">
      <c r="A29" s="471">
        <v>2014</v>
      </c>
      <c r="B29" s="471" t="s">
        <v>477</v>
      </c>
      <c r="C29" s="471">
        <v>2210</v>
      </c>
      <c r="D29" s="471" t="s">
        <v>430</v>
      </c>
      <c r="E29" s="471">
        <v>1</v>
      </c>
      <c r="F29" s="471" t="s">
        <v>418</v>
      </c>
      <c r="G29" s="471">
        <v>-7.1853901259999997</v>
      </c>
      <c r="H29" s="471">
        <v>4.3216280000000001E-3</v>
      </c>
      <c r="I29" s="471">
        <v>30</v>
      </c>
      <c r="J29" s="473">
        <v>5.8499999999999999E-5</v>
      </c>
      <c r="K29" s="471">
        <v>1.4222716E-2</v>
      </c>
      <c r="L29" s="471">
        <v>0.53020096000000005</v>
      </c>
      <c r="M29" s="471">
        <v>-6.7105385780000004</v>
      </c>
      <c r="N29" s="471">
        <v>1.142147E-2</v>
      </c>
      <c r="O29" s="471">
        <v>30</v>
      </c>
      <c r="P29" s="471">
        <v>-7.3028199999999996E-4</v>
      </c>
      <c r="Q29" s="471">
        <v>0.31683938</v>
      </c>
      <c r="R29" s="471">
        <v>1.202851E-3</v>
      </c>
      <c r="S29" s="471">
        <v>2.8686178020000002</v>
      </c>
      <c r="T29" s="471">
        <v>4.0273519999999997E-3</v>
      </c>
      <c r="U29" s="471">
        <v>30</v>
      </c>
      <c r="V29" s="473">
        <v>2.9600000000000001E-5</v>
      </c>
      <c r="W29" s="471">
        <v>4.178869E-3</v>
      </c>
      <c r="X29" s="471">
        <v>0.73432275800000002</v>
      </c>
      <c r="Y29" s="471">
        <v>0.70027409299999999</v>
      </c>
      <c r="Z29" s="471">
        <v>1.149377E-2</v>
      </c>
      <c r="AA29" s="471">
        <v>30</v>
      </c>
      <c r="AB29" s="471">
        <v>-7.3488299999999998E-4</v>
      </c>
      <c r="AC29" s="471">
        <v>0.31681997699999997</v>
      </c>
      <c r="AD29" s="471">
        <v>1.203361E-3</v>
      </c>
      <c r="AE29" s="471">
        <v>3.3604392949999999</v>
      </c>
      <c r="AF29" s="471">
        <v>9.3177666000000006E-2</v>
      </c>
      <c r="AG29" s="471">
        <v>30</v>
      </c>
      <c r="AH29" s="471">
        <v>6.2711799999999997E-4</v>
      </c>
      <c r="AI29" s="471">
        <v>3.5105589999999999E-3</v>
      </c>
      <c r="AJ29" s="471">
        <v>0.75579364400000004</v>
      </c>
      <c r="AK29" s="471">
        <v>-0.289283866</v>
      </c>
      <c r="AL29" s="471">
        <v>9.3204735999999996E-2</v>
      </c>
      <c r="AM29" s="471">
        <v>30</v>
      </c>
      <c r="AN29" s="471">
        <v>1.3161589999999999E-3</v>
      </c>
      <c r="AO29" s="471">
        <v>1.5454048E-2</v>
      </c>
      <c r="AP29" s="471">
        <v>0.51278233200000001</v>
      </c>
      <c r="AQ29" s="471">
        <v>1.5082146839999999</v>
      </c>
      <c r="AR29" s="471">
        <v>0.38695723799999998</v>
      </c>
      <c r="AS29" s="471">
        <v>30</v>
      </c>
      <c r="AT29" s="471">
        <v>1.7691722E-2</v>
      </c>
      <c r="AU29" s="471">
        <v>0.16200035400000001</v>
      </c>
      <c r="AV29" s="471">
        <v>2.7448340000000002E-2</v>
      </c>
      <c r="AW29" s="471">
        <v>0.10705540299999999</v>
      </c>
      <c r="AX29" s="471">
        <v>0.39422210600000002</v>
      </c>
      <c r="AY29" s="471">
        <v>30</v>
      </c>
      <c r="AZ29" s="471">
        <v>1.9135863999999999E-2</v>
      </c>
      <c r="BA29" s="471">
        <v>0.18260636799999999</v>
      </c>
      <c r="BB29" s="471">
        <v>1.8506506999999998E-2</v>
      </c>
      <c r="BC29" s="471">
        <v>-11.334922860000001</v>
      </c>
      <c r="BD29" s="471">
        <v>8.7190032389999992</v>
      </c>
      <c r="BE29" s="471">
        <v>30</v>
      </c>
      <c r="BF29" s="471">
        <v>0.189984244</v>
      </c>
      <c r="BG29" s="471">
        <v>3.6796218999999998E-2</v>
      </c>
      <c r="BH29" s="471">
        <v>0.30987429500000002</v>
      </c>
      <c r="BI29" s="471">
        <v>-15.70474038</v>
      </c>
      <c r="BJ29" s="471">
        <v>8.6867726689999998</v>
      </c>
      <c r="BK29" s="471">
        <v>30</v>
      </c>
      <c r="BL29" s="471">
        <v>0.190533543</v>
      </c>
      <c r="BM29" s="471">
        <v>3.7284444E-2</v>
      </c>
      <c r="BN29" s="471">
        <v>0.30662488100000002</v>
      </c>
      <c r="BO29" s="471">
        <v>1.1847282000000001E-2</v>
      </c>
      <c r="BP29" s="473">
        <v>1.7800000000000001E-7</v>
      </c>
      <c r="BQ29" s="471">
        <v>1.1813394E-2</v>
      </c>
      <c r="BR29" s="473">
        <v>1.7599999999999999E-7</v>
      </c>
      <c r="BS29" s="471">
        <v>1.1883077000000001E-2</v>
      </c>
      <c r="BT29" s="471">
        <v>4.2465430000000002E-3</v>
      </c>
      <c r="BU29" s="473">
        <v>1.1899999999999999E-7</v>
      </c>
      <c r="BV29" s="471">
        <v>4.2435720000000001E-3</v>
      </c>
      <c r="BW29" s="473">
        <v>9.1800000000000001E-8</v>
      </c>
      <c r="BX29" s="471">
        <v>4.1576E-3</v>
      </c>
      <c r="BY29" s="473">
        <v>4.8199999999999999E-5</v>
      </c>
      <c r="BZ29" s="473">
        <v>3.8700000000000001E-9</v>
      </c>
      <c r="CA29" s="473">
        <v>4.8099999999999997E-5</v>
      </c>
      <c r="CB29" s="473">
        <v>2.23E-9</v>
      </c>
      <c r="CC29" s="473">
        <v>4.7700000000000001E-5</v>
      </c>
      <c r="CD29" s="473">
        <v>4.6999999999999999E-6</v>
      </c>
      <c r="CE29" s="473">
        <v>8.5E-9</v>
      </c>
      <c r="CF29" s="473">
        <v>4.6999999999999999E-6</v>
      </c>
      <c r="CG29" s="473">
        <v>7.6700000000000002E-9</v>
      </c>
      <c r="CH29" s="473">
        <v>4.3200000000000001E-6</v>
      </c>
      <c r="CI29" s="473">
        <v>1.04E-7</v>
      </c>
      <c r="CJ29" s="473">
        <v>3.3299999999999999E-9</v>
      </c>
      <c r="CK29" s="473">
        <v>1.05E-7</v>
      </c>
      <c r="CL29" s="473">
        <v>3.1800000000000002E-9</v>
      </c>
      <c r="CM29" s="473">
        <v>4.6999999999999997E-8</v>
      </c>
      <c r="CN29" s="474">
        <v>45204.654166666667</v>
      </c>
      <c r="CO29" s="471">
        <v>1696545734</v>
      </c>
      <c r="CP29" s="471" t="s">
        <v>420</v>
      </c>
      <c r="CQ29" s="471" t="s">
        <v>416</v>
      </c>
      <c r="CR29" s="471" t="s">
        <v>415</v>
      </c>
      <c r="CS29" s="471">
        <v>2502</v>
      </c>
      <c r="CT29" s="471">
        <v>66.924890000000005</v>
      </c>
      <c r="CU29" s="471">
        <v>2.5000000000000001E-3</v>
      </c>
      <c r="CV29" s="471">
        <v>3</v>
      </c>
      <c r="CW29" s="473">
        <v>2.8900000000000001E-8</v>
      </c>
      <c r="CX29" s="473">
        <v>1.05E-7</v>
      </c>
      <c r="CY29" s="471">
        <v>3</v>
      </c>
      <c r="CZ29" s="471">
        <v>30</v>
      </c>
      <c r="DA29" s="473">
        <v>2.65E-7</v>
      </c>
      <c r="DB29" s="473">
        <v>4.1299999999999999E-8</v>
      </c>
      <c r="DC29" s="471">
        <v>0.19795270000000001</v>
      </c>
      <c r="DD29" s="473">
        <v>4.0499999999999999E-8</v>
      </c>
      <c r="DE29" s="473">
        <v>3.6300000000000001E-8</v>
      </c>
      <c r="DF29" s="473">
        <v>3.2399999999999999E-8</v>
      </c>
      <c r="DG29" s="473">
        <v>1.9600000000000001E-12</v>
      </c>
      <c r="DH29" s="473">
        <v>1.75E-12</v>
      </c>
      <c r="DI29" s="473">
        <v>1.56E-12</v>
      </c>
      <c r="DJ29" s="471">
        <v>-1.808451381</v>
      </c>
      <c r="DK29" s="471">
        <v>-0.95907936800000004</v>
      </c>
      <c r="DL29" s="471">
        <v>-0.147941666</v>
      </c>
      <c r="DM29" s="473">
        <v>-2.9500000000000002E-10</v>
      </c>
      <c r="DN29" s="473">
        <v>-2.7499999999999998E-10</v>
      </c>
      <c r="DO29" s="471">
        <v>2.6748556999999999E-2</v>
      </c>
      <c r="DP29" s="471">
        <v>-7.5378918380000002</v>
      </c>
      <c r="DQ29" s="471">
        <v>-6.0899430260000003</v>
      </c>
      <c r="DR29" s="471">
        <v>0.60346963300000001</v>
      </c>
      <c r="DS29" s="471">
        <v>0.76428246700000002</v>
      </c>
      <c r="DT29" s="472">
        <f>SQRT((0.0391*10^6)/(DR29-0.154))-273.15</f>
        <v>21.793073138370403</v>
      </c>
    </row>
    <row r="30" spans="1:126" customFormat="1" x14ac:dyDescent="0.2">
      <c r="A30">
        <v>2033</v>
      </c>
      <c r="B30" t="s">
        <v>654</v>
      </c>
      <c r="C30" t="s">
        <v>430</v>
      </c>
      <c r="D30">
        <v>1</v>
      </c>
      <c r="E30" t="s">
        <v>660</v>
      </c>
      <c r="F30" s="422"/>
      <c r="G30">
        <v>-7.2069462118419203</v>
      </c>
      <c r="H30">
        <v>6.2501654926520002E-3</v>
      </c>
      <c r="I30">
        <v>30</v>
      </c>
      <c r="J30">
        <v>1.8583829093699999E-4</v>
      </c>
      <c r="K30">
        <v>6.8515538360649997E-2</v>
      </c>
      <c r="L30">
        <v>0.16233214202384899</v>
      </c>
      <c r="M30">
        <v>-6.7539592554709804</v>
      </c>
      <c r="N30">
        <v>1.6572186136558999E-2</v>
      </c>
      <c r="O30">
        <v>30</v>
      </c>
      <c r="P30">
        <v>-1.590492374853E-3</v>
      </c>
      <c r="Q30">
        <v>0.71384723229853797</v>
      </c>
      <c r="R30" s="539">
        <v>4.3094280438284202E-9</v>
      </c>
      <c r="S30">
        <v>2.8467528994617002</v>
      </c>
      <c r="T30">
        <v>5.8356022872039998E-3</v>
      </c>
      <c r="U30">
        <v>30</v>
      </c>
      <c r="V30">
        <v>1.1944560633099999E-4</v>
      </c>
      <c r="W30">
        <v>3.2469132807833E-2</v>
      </c>
      <c r="X30">
        <v>0.34066852069450398</v>
      </c>
      <c r="Y30">
        <v>0.65652711220675397</v>
      </c>
      <c r="Z30">
        <v>1.6677349097403E-2</v>
      </c>
      <c r="AA30">
        <v>30</v>
      </c>
      <c r="AB30">
        <v>-1.600388552508E-3</v>
      </c>
      <c r="AC30">
        <v>0.713671798668984</v>
      </c>
      <c r="AD30" s="539">
        <v>4.3470510958902802E-9</v>
      </c>
      <c r="AE30">
        <v>3.29832777794058</v>
      </c>
      <c r="AF30">
        <v>7.8440815114109996E-2</v>
      </c>
      <c r="AG30">
        <v>30</v>
      </c>
      <c r="AH30">
        <v>5.4261106967699998E-4</v>
      </c>
      <c r="AI30">
        <v>3.7084703020560002E-3</v>
      </c>
      <c r="AJ30">
        <v>0.74921726605189098</v>
      </c>
      <c r="AK30">
        <v>-0.28571592740589402</v>
      </c>
      <c r="AL30">
        <v>8.1559684879099995E-2</v>
      </c>
      <c r="AM30">
        <v>30</v>
      </c>
      <c r="AN30">
        <v>1.9895848369849999E-3</v>
      </c>
      <c r="AO30">
        <v>4.6118539889901999E-2</v>
      </c>
      <c r="AP30">
        <v>0.25444282280182301</v>
      </c>
      <c r="AQ30">
        <v>1.27107241356887</v>
      </c>
      <c r="AR30">
        <v>0.34470495455359101</v>
      </c>
      <c r="AS30">
        <v>30</v>
      </c>
      <c r="AT30">
        <v>9.7773580968619992E-3</v>
      </c>
      <c r="AU30">
        <v>6.2351900328960999E-2</v>
      </c>
      <c r="AV30">
        <v>0.18326697506793299</v>
      </c>
      <c r="AW30">
        <v>-4.2327468539871002E-2</v>
      </c>
      <c r="AX30">
        <v>0.35459720664934902</v>
      </c>
      <c r="AY30">
        <v>30</v>
      </c>
      <c r="AZ30">
        <v>1.2962903451139001E-2</v>
      </c>
      <c r="BA30">
        <v>0.103570400358292</v>
      </c>
      <c r="BB30">
        <v>8.2868728632051997E-2</v>
      </c>
      <c r="BC30">
        <v>-12.828166474380099</v>
      </c>
      <c r="BD30">
        <v>9.6889140859200609</v>
      </c>
      <c r="BE30">
        <v>30</v>
      </c>
      <c r="BF30">
        <v>0.30662332637775003</v>
      </c>
      <c r="BG30">
        <v>7.7617897440864003E-2</v>
      </c>
      <c r="BH30">
        <v>0.13601081998494299</v>
      </c>
      <c r="BI30">
        <v>-17.084121024139201</v>
      </c>
      <c r="BJ30">
        <v>9.6518078812267891</v>
      </c>
      <c r="BK30">
        <v>30</v>
      </c>
      <c r="BL30">
        <v>0.30828315946637103</v>
      </c>
      <c r="BM30">
        <v>7.9064943980901997E-2</v>
      </c>
      <c r="BN30">
        <v>0.132265159794072</v>
      </c>
      <c r="BO30">
        <v>1.1846997285619E-2</v>
      </c>
      <c r="BP30" s="539">
        <v>3.3956289967048099E-7</v>
      </c>
      <c r="BQ30">
        <v>1.1813367547821E-2</v>
      </c>
      <c r="BR30" s="539">
        <v>3.5017894298008102E-7</v>
      </c>
      <c r="BS30">
        <v>1.1882818197262E-2</v>
      </c>
      <c r="BT30">
        <v>4.246393434456E-3</v>
      </c>
      <c r="BU30" s="539">
        <v>2.6891064272672001E-7</v>
      </c>
      <c r="BV30">
        <v>4.2436073884399997E-3</v>
      </c>
      <c r="BW30" s="539">
        <v>2.0837891543564699E-7</v>
      </c>
      <c r="BX30">
        <v>4.1574180137229997E-3</v>
      </c>
      <c r="BY30" s="539">
        <v>4.83601893986574E-5</v>
      </c>
      <c r="BZ30" s="539">
        <v>7.2642345875697601E-9</v>
      </c>
      <c r="CA30" s="539">
        <v>4.8201206044974798E-5</v>
      </c>
      <c r="CB30" s="539">
        <v>6.3656373894688501E-9</v>
      </c>
      <c r="CC30" s="539">
        <v>4.7659799937909097E-5</v>
      </c>
      <c r="CD30" s="539">
        <v>4.7127999825367903E-6</v>
      </c>
      <c r="CE30" s="539">
        <v>8.47323081260859E-9</v>
      </c>
      <c r="CF30" s="539">
        <v>4.7068168413773997E-6</v>
      </c>
      <c r="CG30" s="539">
        <v>8.0467451351951097E-9</v>
      </c>
      <c r="CH30" s="539">
        <v>4.3205104114447797E-6</v>
      </c>
      <c r="CI30" s="539">
        <v>1.02990642317974E-7</v>
      </c>
      <c r="CJ30" s="539">
        <v>3.2673169731519401E-9</v>
      </c>
      <c r="CK30" s="539">
        <v>1.0432363327413701E-7</v>
      </c>
      <c r="CL30" s="539">
        <v>2.94923180396007E-9</v>
      </c>
      <c r="CM30" s="539">
        <v>4.6941135442725E-8</v>
      </c>
      <c r="CN30" s="422"/>
      <c r="CO30">
        <v>1696650002</v>
      </c>
      <c r="CP30" t="s">
        <v>422</v>
      </c>
      <c r="CQ30" t="s">
        <v>416</v>
      </c>
      <c r="CR30" t="s">
        <v>661</v>
      </c>
      <c r="CS30">
        <v>2552</v>
      </c>
      <c r="CT30">
        <v>65.42953</v>
      </c>
      <c r="CU30">
        <v>2.5638530564263001E-2</v>
      </c>
      <c r="CV30">
        <v>3.1340180000000001E-3</v>
      </c>
      <c r="CW30">
        <v>3</v>
      </c>
      <c r="CX30" s="539">
        <v>2.722255E-8</v>
      </c>
      <c r="CY30" s="539">
        <v>1.04779E-7</v>
      </c>
      <c r="CZ30">
        <v>3</v>
      </c>
      <c r="DA30">
        <v>30</v>
      </c>
      <c r="DB30" s="539">
        <v>2.648391E-7</v>
      </c>
      <c r="DC30" s="539">
        <v>4.3264850000000002E-8</v>
      </c>
      <c r="DD30">
        <v>0.38387329999999997</v>
      </c>
      <c r="DE30" s="539">
        <v>4.2449432499999999E-8</v>
      </c>
      <c r="DF30" s="539">
        <v>3.7889684683333298E-8</v>
      </c>
      <c r="DG30" s="539">
        <v>3.3694706499999999E-8</v>
      </c>
      <c r="DH30" s="539">
        <v>2.05256575E-12</v>
      </c>
      <c r="DI30" s="539">
        <v>1.8323363916666701E-12</v>
      </c>
      <c r="DJ30" s="539">
        <v>1.6296662999999999E-12</v>
      </c>
      <c r="DK30">
        <v>-1.5828725203467999</v>
      </c>
      <c r="DL30">
        <v>-0.74529428021605004</v>
      </c>
      <c r="DM30">
        <v>3.1714204895448003E-2</v>
      </c>
      <c r="DN30" s="539">
        <v>-3.2826689999999901E-10</v>
      </c>
      <c r="DO30" s="539">
        <v>-3.0828509999999898E-10</v>
      </c>
      <c r="DP30">
        <v>-7.5562735467866604</v>
      </c>
      <c r="DQ30">
        <v>-6.1376854805730403</v>
      </c>
      <c r="DR30">
        <v>0.61288348843732698</v>
      </c>
      <c r="DS30">
        <v>0.81197767351069094</v>
      </c>
      <c r="DT30" s="472">
        <f>SQRT((0.0391*10^6)/(DR30-0.154))-273.15</f>
        <v>18.752062167579481</v>
      </c>
    </row>
    <row r="31" spans="1:126" customFormat="1" x14ac:dyDescent="0.2">
      <c r="A31">
        <v>2052</v>
      </c>
      <c r="B31" t="s">
        <v>653</v>
      </c>
      <c r="C31" t="s">
        <v>430</v>
      </c>
      <c r="D31">
        <v>1</v>
      </c>
      <c r="E31" t="s">
        <v>660</v>
      </c>
      <c r="F31" s="422"/>
      <c r="G31">
        <v>-7.1818093275669099</v>
      </c>
      <c r="H31">
        <v>5.9475964487500001E-3</v>
      </c>
      <c r="I31">
        <v>30</v>
      </c>
      <c r="J31" s="539">
        <v>-7.15828086062983E-5</v>
      </c>
      <c r="K31">
        <v>1.1226288120119001E-2</v>
      </c>
      <c r="L31">
        <v>0.5773578990082</v>
      </c>
      <c r="M31">
        <v>-6.7650160188150998</v>
      </c>
      <c r="N31">
        <v>1.3637263773852999E-2</v>
      </c>
      <c r="O31">
        <v>30</v>
      </c>
      <c r="P31">
        <v>-1.1930945571489999E-3</v>
      </c>
      <c r="Q31">
        <v>0.59319427361391497</v>
      </c>
      <c r="R31" s="539">
        <v>6.45440255507842E-7</v>
      </c>
      <c r="S31">
        <v>2.8700817728277701</v>
      </c>
      <c r="T31">
        <v>5.6344764505500003E-3</v>
      </c>
      <c r="U31">
        <v>30</v>
      </c>
      <c r="V31">
        <v>-1.09472959134E-4</v>
      </c>
      <c r="W31">
        <v>2.9255550958001E-2</v>
      </c>
      <c r="X31">
        <v>0.366146085646954</v>
      </c>
      <c r="Y31">
        <v>0.64545181903488902</v>
      </c>
      <c r="Z31">
        <v>1.3725541358347E-2</v>
      </c>
      <c r="AA31">
        <v>30</v>
      </c>
      <c r="AB31">
        <v>-1.2009628990970001E-3</v>
      </c>
      <c r="AC31">
        <v>0.593337666412043</v>
      </c>
      <c r="AD31" s="539">
        <v>6.4219273505494605E-7</v>
      </c>
      <c r="AE31">
        <v>3.3511502769466399</v>
      </c>
      <c r="AF31">
        <v>8.8100773551022998E-2</v>
      </c>
      <c r="AG31">
        <v>30</v>
      </c>
      <c r="AH31">
        <v>-4.45255360469E-4</v>
      </c>
      <c r="AI31">
        <v>1.979523092822E-3</v>
      </c>
      <c r="AJ31">
        <v>0.81541016710047298</v>
      </c>
      <c r="AK31">
        <v>-0.256853251096612</v>
      </c>
      <c r="AL31">
        <v>7.3489986888232994E-2</v>
      </c>
      <c r="AM31">
        <v>29</v>
      </c>
      <c r="AN31">
        <v>-1.1687535276530001E-3</v>
      </c>
      <c r="AO31">
        <v>1.8598613593714002E-2</v>
      </c>
      <c r="AP31">
        <v>0.480553326755359</v>
      </c>
      <c r="AQ31">
        <v>1.3132113657340301</v>
      </c>
      <c r="AR31">
        <v>0.319186106522447</v>
      </c>
      <c r="AS31">
        <v>30</v>
      </c>
      <c r="AT31">
        <v>1.4389146711721E-2</v>
      </c>
      <c r="AU31">
        <v>0.157501184931649</v>
      </c>
      <c r="AV31">
        <v>2.9899974928945999E-2</v>
      </c>
      <c r="AW31">
        <v>2.1892480661094001E-2</v>
      </c>
      <c r="AX31">
        <v>0.32905908452439397</v>
      </c>
      <c r="AY31">
        <v>30</v>
      </c>
      <c r="AZ31">
        <v>1.6770830177967998E-2</v>
      </c>
      <c r="BA31">
        <v>0.20130893665062599</v>
      </c>
      <c r="BB31">
        <v>1.2886665832111E-2</v>
      </c>
      <c r="BC31">
        <v>-9.8524106949608203</v>
      </c>
      <c r="BD31">
        <v>7.6658278228035401</v>
      </c>
      <c r="BE31">
        <v>30</v>
      </c>
      <c r="BF31">
        <v>0.39408382705619899</v>
      </c>
      <c r="BG31">
        <v>0.204814549894589</v>
      </c>
      <c r="BH31">
        <v>1.2035215082565999E-2</v>
      </c>
      <c r="BI31">
        <v>-14.1241505743685</v>
      </c>
      <c r="BJ31">
        <v>7.6461575131769299</v>
      </c>
      <c r="BK31">
        <v>30</v>
      </c>
      <c r="BL31">
        <v>0.39481821808520301</v>
      </c>
      <c r="BM31">
        <v>0.20663771461446701</v>
      </c>
      <c r="BN31">
        <v>1.1614073872118999E-2</v>
      </c>
      <c r="BO31">
        <v>1.1846350089287999E-2</v>
      </c>
      <c r="BP31" s="539">
        <v>4.7496853338452003E-7</v>
      </c>
      <c r="BQ31">
        <v>1.1812447398967E-2</v>
      </c>
      <c r="BR31" s="539">
        <v>4.5977054139085202E-7</v>
      </c>
      <c r="BS31">
        <v>1.1883094623107E-2</v>
      </c>
      <c r="BT31">
        <v>4.2457684394299998E-3</v>
      </c>
      <c r="BU31" s="539">
        <v>2.5867609178258098E-7</v>
      </c>
      <c r="BV31">
        <v>4.2430297660370001E-3</v>
      </c>
      <c r="BW31" s="539">
        <v>2.11914069648295E-7</v>
      </c>
      <c r="BX31">
        <v>4.1573719993090001E-3</v>
      </c>
      <c r="BY31" s="539">
        <v>4.8394330565443302E-5</v>
      </c>
      <c r="BZ31" s="539">
        <v>1.0352386331472999E-8</v>
      </c>
      <c r="CA31" s="539">
        <v>4.8232695637658501E-5</v>
      </c>
      <c r="CB31" s="539">
        <v>9.8397654906202504E-9</v>
      </c>
      <c r="CC31" s="539">
        <v>4.7662309171369501E-5</v>
      </c>
      <c r="CD31" s="539">
        <v>4.7354884229139201E-6</v>
      </c>
      <c r="CE31" s="539">
        <v>9.3767396289949502E-9</v>
      </c>
      <c r="CF31" s="539">
        <v>4.7292769167755098E-6</v>
      </c>
      <c r="CG31" s="539">
        <v>8.7171743053323807E-9</v>
      </c>
      <c r="CH31" s="539">
        <v>4.3206922421063996E-6</v>
      </c>
      <c r="CI31" s="539">
        <v>1.1188503983845601E-7</v>
      </c>
      <c r="CJ31" s="539">
        <v>3.3999477702051199E-9</v>
      </c>
      <c r="CK31" s="539">
        <v>1.12989693446632E-7</v>
      </c>
      <c r="CL31" s="539">
        <v>3.0053670283474099E-9</v>
      </c>
      <c r="CM31" s="539">
        <v>4.7082635990392802E-8</v>
      </c>
      <c r="CN31" s="422"/>
      <c r="CO31">
        <v>1696730739</v>
      </c>
      <c r="CP31" t="s">
        <v>422</v>
      </c>
      <c r="CQ31" t="s">
        <v>416</v>
      </c>
      <c r="CR31" t="s">
        <v>661</v>
      </c>
      <c r="CS31">
        <v>2581</v>
      </c>
      <c r="CT31">
        <v>60.241540000000001</v>
      </c>
      <c r="CU31">
        <v>2.3340387446726001E-2</v>
      </c>
      <c r="CV31">
        <v>3.278179E-3</v>
      </c>
      <c r="CW31">
        <v>3</v>
      </c>
      <c r="CX31" s="539">
        <v>2.762345E-8</v>
      </c>
      <c r="CY31" s="539">
        <v>1.0502679999999999E-7</v>
      </c>
      <c r="CZ31">
        <v>3</v>
      </c>
      <c r="DA31">
        <v>30</v>
      </c>
      <c r="DB31" s="539">
        <v>2.6534859999999998E-7</v>
      </c>
      <c r="DC31" s="539">
        <v>3.77848E-8</v>
      </c>
      <c r="DD31">
        <v>0.1858717</v>
      </c>
      <c r="DE31" s="539">
        <v>3.68240165E-8</v>
      </c>
      <c r="DF31" s="539">
        <v>3.30131307E-8</v>
      </c>
      <c r="DG31" s="539">
        <v>2.9605573E-8</v>
      </c>
      <c r="DH31" s="539">
        <v>1.78166545E-12</v>
      </c>
      <c r="DI31" s="539">
        <v>1.5976288950000001E-12</v>
      </c>
      <c r="DJ31" s="539">
        <v>1.4333611000000001E-12</v>
      </c>
      <c r="DK31">
        <v>-1.85017614757872</v>
      </c>
      <c r="DL31">
        <v>-0.96709230173009497</v>
      </c>
      <c r="DM31">
        <v>-0.171311432037833</v>
      </c>
      <c r="DN31" s="539">
        <v>-2.7197120000000001E-10</v>
      </c>
      <c r="DO31" s="539">
        <v>-2.5308304999999898E-10</v>
      </c>
      <c r="DP31">
        <v>-7.5310661805336796</v>
      </c>
      <c r="DQ31">
        <v>-6.1487066723978501</v>
      </c>
      <c r="DR31">
        <v>0.64393985073668403</v>
      </c>
      <c r="DS31">
        <v>1.0468745274242599</v>
      </c>
      <c r="DT31" s="472">
        <f>SQRT((0.0391*10^6)/(DR31-0.154))-273.15</f>
        <v>9.3490527524447771</v>
      </c>
    </row>
    <row r="32" spans="1:126" x14ac:dyDescent="0.2">
      <c r="J32" s="423"/>
      <c r="V32" s="423"/>
      <c r="BP32" s="423"/>
      <c r="BR32" s="423"/>
      <c r="BU32" s="423"/>
      <c r="BW32" s="423"/>
      <c r="BY32" s="423"/>
      <c r="BZ32" s="423"/>
      <c r="CA32" s="423"/>
      <c r="CB32" s="423"/>
      <c r="CC32" s="423"/>
      <c r="CD32" s="423"/>
      <c r="CE32" s="423"/>
      <c r="CF32" s="423"/>
      <c r="CG32" s="423"/>
      <c r="CH32" s="423"/>
      <c r="CI32" s="423"/>
      <c r="CJ32" s="423"/>
      <c r="CK32" s="423"/>
      <c r="CL32" s="423"/>
      <c r="CM32" s="423"/>
      <c r="CN32" s="424"/>
      <c r="CW32" s="423"/>
      <c r="CX32" s="423"/>
      <c r="DA32" s="423"/>
      <c r="DB32" s="423"/>
      <c r="DD32" s="423"/>
      <c r="DE32" s="423"/>
      <c r="DF32" s="423"/>
      <c r="DG32" s="423"/>
      <c r="DH32" s="423"/>
      <c r="DI32" s="423"/>
      <c r="DM32" s="423"/>
      <c r="DN32" s="423"/>
      <c r="DO32" s="425" t="s">
        <v>437</v>
      </c>
      <c r="DP32" s="425">
        <f>AVERAGE(DP28:DP31)</f>
        <v>-7.5247615215800856</v>
      </c>
      <c r="DQ32" s="425">
        <f>AVERAGE(DQ28:DQ31)</f>
        <v>-6.0933109569927222</v>
      </c>
      <c r="DR32" s="425">
        <f>AVERAGE(DR28:DR31)</f>
        <v>0.60809502004350269</v>
      </c>
      <c r="DS32" s="425">
        <f>AVERAGE(DS28:DS31)</f>
        <v>0.77547020248373766</v>
      </c>
      <c r="DT32" s="440">
        <f>AVERAGE(DT28:DT31)</f>
        <v>20.639129342234796</v>
      </c>
    </row>
    <row r="33" spans="1:128" x14ac:dyDescent="0.2">
      <c r="J33" s="423"/>
      <c r="V33" s="423"/>
      <c r="BP33" s="423"/>
      <c r="BR33" s="423"/>
      <c r="BU33" s="423"/>
      <c r="BW33" s="423"/>
      <c r="BY33" s="423"/>
      <c r="BZ33" s="423"/>
      <c r="CA33" s="423"/>
      <c r="CB33" s="423"/>
      <c r="CC33" s="423"/>
      <c r="CD33" s="423"/>
      <c r="CE33" s="423"/>
      <c r="CF33" s="423"/>
      <c r="CG33" s="423"/>
      <c r="CH33" s="423"/>
      <c r="CI33" s="423"/>
      <c r="CJ33" s="423"/>
      <c r="CK33" s="423"/>
      <c r="CL33" s="423"/>
      <c r="CM33" s="423"/>
      <c r="CN33" s="424"/>
      <c r="CW33" s="423"/>
      <c r="CX33" s="423"/>
      <c r="DA33" s="423"/>
      <c r="DB33" s="423"/>
      <c r="DD33" s="423"/>
      <c r="DE33" s="423"/>
      <c r="DF33" s="423"/>
      <c r="DG33" s="423"/>
      <c r="DH33" s="423"/>
      <c r="DI33" s="423"/>
      <c r="DM33" s="541" t="s">
        <v>664</v>
      </c>
      <c r="DN33" s="423"/>
      <c r="DO33" s="425" t="s">
        <v>394</v>
      </c>
      <c r="DP33" s="425">
        <f>STDEV(DP28:DP31)</f>
        <v>3.5593812826272754E-2</v>
      </c>
      <c r="DQ33" s="425">
        <f>STDEV(DQ28:DQ31)</f>
        <v>6.9143646547656035E-2</v>
      </c>
      <c r="DR33" s="425">
        <f>STDEV(DR28:DR31)</f>
        <v>2.9584597636925426E-2</v>
      </c>
      <c r="DS33" s="425">
        <f>STDEV(DS28:DS31)</f>
        <v>0.23321194690125113</v>
      </c>
      <c r="DT33" s="425">
        <f>STDEV(DT28:DT32)</f>
        <v>8.320393255243248</v>
      </c>
    </row>
    <row r="34" spans="1:128" x14ac:dyDescent="0.2">
      <c r="J34" s="423"/>
      <c r="V34" s="423"/>
      <c r="BP34" s="423"/>
      <c r="BR34" s="423"/>
      <c r="BU34" s="423"/>
      <c r="BW34" s="423"/>
      <c r="BY34" s="423"/>
      <c r="BZ34" s="423"/>
      <c r="CA34" s="423"/>
      <c r="CB34" s="423"/>
      <c r="CC34" s="423"/>
      <c r="CD34" s="423"/>
      <c r="CE34" s="423"/>
      <c r="CF34" s="423"/>
      <c r="CG34" s="423"/>
      <c r="CH34" s="423"/>
      <c r="CI34" s="423"/>
      <c r="CJ34" s="423"/>
      <c r="CK34" s="423"/>
      <c r="CL34" s="423"/>
      <c r="CM34" s="423"/>
      <c r="CN34" s="424"/>
      <c r="CW34" s="423"/>
      <c r="CX34" s="423"/>
      <c r="DA34" s="423"/>
      <c r="DB34" s="423"/>
      <c r="DD34" s="423"/>
      <c r="DE34" s="423"/>
      <c r="DF34" s="423"/>
      <c r="DG34" s="423"/>
      <c r="DH34" s="423"/>
      <c r="DI34" s="423"/>
      <c r="DM34" s="423"/>
      <c r="DN34" s="423"/>
      <c r="DO34" s="425" t="s">
        <v>436</v>
      </c>
      <c r="DP34" s="425">
        <f>DP33/SQRT(4)</f>
        <v>1.7796906413136377E-2</v>
      </c>
      <c r="DQ34" s="425">
        <f>DQ33/SQRT(4)</f>
        <v>3.4571823273828017E-2</v>
      </c>
      <c r="DR34" s="425">
        <f>DR33/SQRT(4)</f>
        <v>1.4792298818462713E-2</v>
      </c>
      <c r="DS34" s="425">
        <f>DS33/SQRT(4)</f>
        <v>0.11660597345062557</v>
      </c>
      <c r="DT34" s="425">
        <f>DT33/SQRT(4)</f>
        <v>4.160196627621624</v>
      </c>
    </row>
    <row r="35" spans="1:128" x14ac:dyDescent="0.2">
      <c r="J35" s="423"/>
      <c r="V35" s="423"/>
      <c r="BP35" s="423"/>
      <c r="BR35" s="423"/>
      <c r="BU35" s="423"/>
      <c r="BW35" s="423"/>
      <c r="BY35" s="423"/>
      <c r="BZ35" s="423"/>
      <c r="CA35" s="423"/>
      <c r="CB35" s="423"/>
      <c r="CC35" s="423"/>
      <c r="CD35" s="423"/>
      <c r="CE35" s="423"/>
      <c r="CF35" s="423"/>
      <c r="CG35" s="423"/>
      <c r="CH35" s="423"/>
      <c r="CI35" s="423"/>
      <c r="CJ35" s="423"/>
      <c r="CK35" s="423"/>
      <c r="CL35" s="423"/>
      <c r="CM35" s="423"/>
      <c r="CN35" s="424"/>
      <c r="CW35" s="423"/>
      <c r="CX35" s="423"/>
      <c r="DA35" s="423"/>
      <c r="DB35" s="423"/>
      <c r="DD35" s="423"/>
      <c r="DE35" s="423"/>
      <c r="DF35" s="423"/>
      <c r="DG35" s="423"/>
      <c r="DH35" s="423"/>
      <c r="DI35" s="423"/>
      <c r="DM35" s="423"/>
      <c r="DN35" s="423"/>
      <c r="DO35" s="425"/>
      <c r="DP35" s="425"/>
      <c r="DQ35" s="425"/>
      <c r="DR35" s="425"/>
      <c r="DS35" s="425"/>
      <c r="DT35" s="425"/>
    </row>
    <row r="36" spans="1:128" x14ac:dyDescent="0.2">
      <c r="J36" s="423"/>
      <c r="V36" s="423"/>
      <c r="BP36" s="423"/>
      <c r="BR36" s="423"/>
      <c r="BU36" s="423"/>
      <c r="BW36" s="423"/>
      <c r="BY36" s="423"/>
      <c r="BZ36" s="423"/>
      <c r="CA36" s="423"/>
      <c r="CB36" s="423"/>
      <c r="CC36" s="423"/>
      <c r="CD36" s="423"/>
      <c r="CE36" s="423"/>
      <c r="CF36" s="423"/>
      <c r="CG36" s="423"/>
      <c r="CH36" s="423"/>
      <c r="CI36" s="423"/>
      <c r="CJ36" s="423"/>
      <c r="CK36" s="423"/>
      <c r="CL36" s="423"/>
      <c r="CM36" s="423"/>
      <c r="CN36" s="424"/>
      <c r="CW36" s="423"/>
      <c r="CX36" s="423"/>
      <c r="DA36" s="423"/>
      <c r="DB36" s="423"/>
      <c r="DD36" s="423"/>
      <c r="DE36" s="423"/>
      <c r="DF36" s="423"/>
      <c r="DG36" s="423"/>
      <c r="DH36" s="423"/>
      <c r="DI36" s="423"/>
      <c r="DM36" s="423"/>
      <c r="DN36" s="423"/>
      <c r="DO36" s="425" t="s">
        <v>437</v>
      </c>
      <c r="DP36" s="425">
        <f>AVERAGE(DP28:DP30)</f>
        <v>-7.522659968595554</v>
      </c>
      <c r="DQ36" s="425">
        <f>AVERAGE(DQ28:DQ30)</f>
        <v>-6.0748457185243465</v>
      </c>
      <c r="DR36" s="425">
        <f>AVERAGE(DR28:DR30)</f>
        <v>0.59614674314577565</v>
      </c>
      <c r="DS36" s="425">
        <f>AVERAGE(DS28:DS30)</f>
        <v>0.68500209417023028</v>
      </c>
      <c r="DT36" s="440">
        <f>AVERAGE(DT28:DT30)</f>
        <v>24.402488205498134</v>
      </c>
    </row>
    <row r="37" spans="1:128" x14ac:dyDescent="0.2">
      <c r="J37" s="423"/>
      <c r="V37" s="423"/>
      <c r="BP37" s="423"/>
      <c r="BR37" s="423"/>
      <c r="BU37" s="423"/>
      <c r="BW37" s="423"/>
      <c r="BY37" s="423"/>
      <c r="BZ37" s="423"/>
      <c r="CA37" s="423"/>
      <c r="CB37" s="423"/>
      <c r="CC37" s="423"/>
      <c r="CD37" s="423"/>
      <c r="CE37" s="423"/>
      <c r="CF37" s="423"/>
      <c r="CG37" s="423"/>
      <c r="CH37" s="423"/>
      <c r="CI37" s="423"/>
      <c r="CJ37" s="423"/>
      <c r="CK37" s="423"/>
      <c r="CL37" s="423"/>
      <c r="CM37" s="423"/>
      <c r="CN37" s="424"/>
      <c r="CW37" s="423"/>
      <c r="CX37" s="423"/>
      <c r="DA37" s="423"/>
      <c r="DB37" s="423"/>
      <c r="DD37" s="423"/>
      <c r="DE37" s="423"/>
      <c r="DF37" s="423"/>
      <c r="DG37" s="423"/>
      <c r="DH37" s="423"/>
      <c r="DI37" s="423"/>
      <c r="DM37" s="541" t="s">
        <v>663</v>
      </c>
      <c r="DN37" s="423"/>
      <c r="DO37" s="425" t="s">
        <v>394</v>
      </c>
      <c r="DP37" s="425">
        <f>STDEV(DP28:DP30)</f>
        <v>4.3288336969521585E-2</v>
      </c>
      <c r="DQ37" s="425">
        <f>STDEV(DQ28:DQ30)</f>
        <v>7.1592426950738752E-2</v>
      </c>
      <c r="DR37" s="425">
        <f>STDEV(DR28:DR30)</f>
        <v>2.1361289779870653E-2</v>
      </c>
      <c r="DS37" s="425">
        <f>STDEV(DS28:DS30)</f>
        <v>0.18020778711049273</v>
      </c>
      <c r="DT37" s="425">
        <f>STDEV(DT28:DT30)</f>
        <v>7.3130478079647609</v>
      </c>
    </row>
    <row r="38" spans="1:128" x14ac:dyDescent="0.2">
      <c r="J38" s="423"/>
      <c r="V38" s="423"/>
      <c r="BP38" s="423"/>
      <c r="BR38" s="423"/>
      <c r="BU38" s="423"/>
      <c r="BW38" s="423"/>
      <c r="BY38" s="423"/>
      <c r="BZ38" s="423"/>
      <c r="CA38" s="423"/>
      <c r="CB38" s="423"/>
      <c r="CC38" s="423"/>
      <c r="CD38" s="423"/>
      <c r="CE38" s="423"/>
      <c r="CF38" s="423"/>
      <c r="CG38" s="423"/>
      <c r="CH38" s="423"/>
      <c r="CI38" s="423"/>
      <c r="CJ38" s="423"/>
      <c r="CK38" s="423"/>
      <c r="CL38" s="423"/>
      <c r="CM38" s="423"/>
      <c r="CN38" s="424"/>
      <c r="CW38" s="423"/>
      <c r="CX38" s="423"/>
      <c r="DA38" s="423"/>
      <c r="DB38" s="423"/>
      <c r="DD38" s="423"/>
      <c r="DE38" s="423"/>
      <c r="DF38" s="423"/>
      <c r="DG38" s="423"/>
      <c r="DH38" s="423"/>
      <c r="DI38" s="423"/>
      <c r="DM38" s="423"/>
      <c r="DN38" s="423"/>
      <c r="DO38" s="425" t="s">
        <v>436</v>
      </c>
      <c r="DP38" s="425">
        <f>DP37/SQRT(3)</f>
        <v>2.4992533002124517E-2</v>
      </c>
      <c r="DQ38" s="425">
        <f>DQ37/SQRT(3)</f>
        <v>4.1333906971947637E-2</v>
      </c>
      <c r="DR38" s="425">
        <f>DR37/SQRT(3)</f>
        <v>1.2332946404645924E-2</v>
      </c>
      <c r="DS38" s="425">
        <f>DS37/SQRT(3)</f>
        <v>0.10404301439830976</v>
      </c>
      <c r="DT38" s="425">
        <f>DT37/SQRT(3)</f>
        <v>4.2221901205250578</v>
      </c>
    </row>
    <row r="39" spans="1:128" x14ac:dyDescent="0.2">
      <c r="J39" s="423"/>
      <c r="V39" s="423"/>
      <c r="BP39" s="423"/>
      <c r="BR39" s="423"/>
      <c r="BU39" s="423"/>
      <c r="BW39" s="423"/>
      <c r="BY39" s="423"/>
      <c r="BZ39" s="423"/>
      <c r="CA39" s="423"/>
      <c r="CB39" s="423"/>
      <c r="CC39" s="423"/>
      <c r="CD39" s="423"/>
      <c r="CE39" s="423"/>
      <c r="CF39" s="423"/>
      <c r="CG39" s="423"/>
      <c r="CH39" s="423"/>
      <c r="CI39" s="423"/>
      <c r="CJ39" s="423"/>
      <c r="CK39" s="423"/>
      <c r="CL39" s="423"/>
      <c r="CM39" s="423"/>
      <c r="CN39" s="424"/>
      <c r="CW39" s="423"/>
      <c r="CX39" s="423"/>
      <c r="DA39" s="423"/>
      <c r="DB39" s="423"/>
      <c r="DD39" s="423"/>
      <c r="DE39" s="423"/>
      <c r="DF39" s="423"/>
      <c r="DG39" s="423"/>
      <c r="DH39" s="423"/>
      <c r="DI39" s="423"/>
      <c r="DM39" s="423"/>
      <c r="DN39" s="423"/>
      <c r="DT39" s="427"/>
    </row>
    <row r="40" spans="1:128" s="486" customFormat="1" ht="17" x14ac:dyDescent="0.2">
      <c r="A40" s="486">
        <v>1997</v>
      </c>
      <c r="B40" s="486" t="s">
        <v>476</v>
      </c>
      <c r="C40" s="486">
        <v>2520</v>
      </c>
      <c r="D40" s="486" t="s">
        <v>430</v>
      </c>
      <c r="E40" s="486">
        <v>1</v>
      </c>
      <c r="F40" s="486" t="s">
        <v>418</v>
      </c>
      <c r="G40" s="486">
        <v>-7.4298109769999998</v>
      </c>
      <c r="H40" s="486">
        <v>4.9395899999999998E-3</v>
      </c>
      <c r="I40" s="486">
        <v>30</v>
      </c>
      <c r="J40" s="488">
        <v>8.3900000000000006E-5</v>
      </c>
      <c r="K40" s="486">
        <v>2.2383166999999999E-2</v>
      </c>
      <c r="L40" s="486">
        <v>0.43006251299999998</v>
      </c>
      <c r="M40" s="486">
        <v>-6.0850978539999998</v>
      </c>
      <c r="N40" s="486">
        <v>1.0195635999999999E-2</v>
      </c>
      <c r="O40" s="486">
        <v>30</v>
      </c>
      <c r="P40" s="486">
        <v>-4.2118100000000002E-4</v>
      </c>
      <c r="Q40" s="486">
        <v>0.132254396</v>
      </c>
      <c r="R40" s="486">
        <v>4.8213137000000003E-2</v>
      </c>
      <c r="S40" s="486">
        <v>2.6599765390000001</v>
      </c>
      <c r="T40" s="486">
        <v>4.6611500000000002E-3</v>
      </c>
      <c r="U40" s="486">
        <v>30</v>
      </c>
      <c r="V40" s="488">
        <v>6.4399999999999993E-5</v>
      </c>
      <c r="W40" s="486">
        <v>1.4797708999999999E-2</v>
      </c>
      <c r="X40" s="486">
        <v>0.52194165199999998</v>
      </c>
      <c r="Y40" s="486">
        <v>1.3292448750000001</v>
      </c>
      <c r="Z40" s="486">
        <v>1.0261197999999999E-2</v>
      </c>
      <c r="AA40" s="486">
        <v>30</v>
      </c>
      <c r="AB40" s="486">
        <v>-4.2372800000000001E-4</v>
      </c>
      <c r="AC40" s="486">
        <v>0.132153771</v>
      </c>
      <c r="AD40" s="486">
        <v>4.8304786000000002E-2</v>
      </c>
      <c r="AE40" s="486">
        <v>3.763055568</v>
      </c>
      <c r="AF40" s="486">
        <v>5.8193217999999998E-2</v>
      </c>
      <c r="AG40" s="486">
        <v>30</v>
      </c>
      <c r="AH40" s="486">
        <v>-4.1968099999999998E-4</v>
      </c>
      <c r="AI40" s="486">
        <v>4.0308499999999999E-3</v>
      </c>
      <c r="AJ40" s="486">
        <v>0.73890500000000003</v>
      </c>
      <c r="AK40" s="486">
        <v>-0.29107199700000003</v>
      </c>
      <c r="AL40" s="486">
        <v>5.6179655000000002E-2</v>
      </c>
      <c r="AM40" s="486">
        <v>30</v>
      </c>
      <c r="AN40" s="488">
        <v>-6.8399999999999996E-5</v>
      </c>
      <c r="AO40" s="486">
        <v>1.14945E-4</v>
      </c>
      <c r="AP40" s="486">
        <v>0.95515950000000005</v>
      </c>
      <c r="AQ40" s="486">
        <v>2.499747363</v>
      </c>
      <c r="AR40" s="486">
        <v>0.28292970200000001</v>
      </c>
      <c r="AS40" s="486">
        <v>30</v>
      </c>
      <c r="AT40" s="486">
        <v>1.3829630000000001E-3</v>
      </c>
      <c r="AU40" s="486">
        <v>1.8516800000000001E-3</v>
      </c>
      <c r="AV40" s="486">
        <v>0.82137190900000001</v>
      </c>
      <c r="AW40" s="486">
        <v>-0.160059745</v>
      </c>
      <c r="AX40" s="486">
        <v>0.28030188099999997</v>
      </c>
      <c r="AY40" s="486">
        <v>30</v>
      </c>
      <c r="AZ40" s="486">
        <v>2.2256160000000001E-3</v>
      </c>
      <c r="BA40" s="486">
        <v>4.8859619999999998E-3</v>
      </c>
      <c r="BB40" s="486">
        <v>0.71359105499999997</v>
      </c>
      <c r="BC40" s="486">
        <v>-14.776389010000001</v>
      </c>
      <c r="BD40" s="486">
        <v>7.3206680860000004</v>
      </c>
      <c r="BE40" s="486">
        <v>30</v>
      </c>
      <c r="BF40" s="486">
        <v>3.9074611000000002E-2</v>
      </c>
      <c r="BG40" s="486">
        <v>2.207952E-3</v>
      </c>
      <c r="BH40" s="486">
        <v>0.80524214599999999</v>
      </c>
      <c r="BI40" s="486">
        <v>-20.123869769999999</v>
      </c>
      <c r="BJ40" s="486">
        <v>7.2834187779999997</v>
      </c>
      <c r="BK40" s="486">
        <v>30</v>
      </c>
      <c r="BL40" s="486">
        <v>3.9613891999999998E-2</v>
      </c>
      <c r="BM40" s="486">
        <v>2.2925889999999998E-3</v>
      </c>
      <c r="BN40" s="486">
        <v>0.80161674500000002</v>
      </c>
      <c r="BO40" s="486">
        <v>1.1844059000000001E-2</v>
      </c>
      <c r="BP40" s="488">
        <v>1.05E-7</v>
      </c>
      <c r="BQ40" s="486">
        <v>1.1812638E-2</v>
      </c>
      <c r="BR40" s="488">
        <v>1.06E-7</v>
      </c>
      <c r="BS40" s="486">
        <v>1.1880605000000001E-2</v>
      </c>
      <c r="BT40" s="486">
        <v>4.248529E-3</v>
      </c>
      <c r="BU40" s="488">
        <v>1.4399999999999999E-7</v>
      </c>
      <c r="BV40" s="486">
        <v>4.24289E-3</v>
      </c>
      <c r="BW40" s="488">
        <v>1.5800000000000001E-7</v>
      </c>
      <c r="BX40" s="486">
        <v>4.1602130000000003E-3</v>
      </c>
      <c r="BY40" s="488">
        <v>4.8199999999999999E-5</v>
      </c>
      <c r="BZ40" s="488">
        <v>5.69E-9</v>
      </c>
      <c r="CA40" s="488">
        <v>4.8099999999999997E-5</v>
      </c>
      <c r="CB40" s="488">
        <v>5.3700000000000003E-9</v>
      </c>
      <c r="CC40" s="488">
        <v>4.7700000000000001E-5</v>
      </c>
      <c r="CD40" s="488">
        <v>4.6700000000000002E-6</v>
      </c>
      <c r="CE40" s="488">
        <v>6.7700000000000004E-9</v>
      </c>
      <c r="CF40" s="488">
        <v>4.6600000000000003E-6</v>
      </c>
      <c r="CG40" s="488">
        <v>6.6800000000000001E-9</v>
      </c>
      <c r="CH40" s="488">
        <v>4.33E-6</v>
      </c>
      <c r="CI40" s="488">
        <v>9.0400000000000002E-8</v>
      </c>
      <c r="CJ40" s="488">
        <v>2.4399999999999998E-9</v>
      </c>
      <c r="CK40" s="488">
        <v>9.1699999999999994E-8</v>
      </c>
      <c r="CL40" s="488">
        <v>2.4199999999999999E-9</v>
      </c>
      <c r="CM40" s="488">
        <v>4.6800000000000002E-8</v>
      </c>
      <c r="CN40" s="489">
        <v>45203.824999999997</v>
      </c>
      <c r="CO40" s="486">
        <v>1696474139</v>
      </c>
      <c r="CP40" s="486" t="s">
        <v>420</v>
      </c>
      <c r="CQ40" s="486" t="s">
        <v>416</v>
      </c>
      <c r="CR40" s="486" t="s">
        <v>415</v>
      </c>
      <c r="CS40" s="486">
        <v>2623</v>
      </c>
      <c r="CT40" s="486">
        <v>85.784750000000003</v>
      </c>
      <c r="CU40" s="486">
        <v>2.5600000000000002E-3</v>
      </c>
      <c r="CV40" s="486">
        <v>3</v>
      </c>
      <c r="CW40" s="488">
        <v>2.6799999999999998E-8</v>
      </c>
      <c r="CX40" s="488">
        <v>1.05E-7</v>
      </c>
      <c r="CY40" s="486">
        <v>3</v>
      </c>
      <c r="CZ40" s="486">
        <v>30</v>
      </c>
      <c r="DA40" s="488">
        <v>2.65E-7</v>
      </c>
      <c r="DB40" s="488">
        <v>5.9499999999999997E-8</v>
      </c>
      <c r="DC40" s="486">
        <v>0.21460850000000001</v>
      </c>
      <c r="DD40" s="488">
        <v>5.7200000000000003E-8</v>
      </c>
      <c r="DE40" s="488">
        <v>5.0899999999999999E-8</v>
      </c>
      <c r="DF40" s="488">
        <v>4.4999999999999999E-8</v>
      </c>
      <c r="DG40" s="488">
        <v>2.76E-12</v>
      </c>
      <c r="DH40" s="488">
        <v>2.4499999999999999E-12</v>
      </c>
      <c r="DI40" s="488">
        <v>2.1699999999999998E-12</v>
      </c>
      <c r="DJ40" s="486">
        <v>-1.0258896120000001</v>
      </c>
      <c r="DK40" s="486">
        <v>-0.48435589699999998</v>
      </c>
      <c r="DL40" s="486">
        <v>-2.5029834000000001E-2</v>
      </c>
      <c r="DM40" s="488">
        <v>-4.48E-10</v>
      </c>
      <c r="DN40" s="488">
        <v>-4.3200000000000001E-10</v>
      </c>
      <c r="DO40" s="486">
        <v>3.2704823000000001E-2</v>
      </c>
      <c r="DP40" s="486">
        <v>-7.7830279979999997</v>
      </c>
      <c r="DQ40" s="486">
        <v>-5.4664380069999998</v>
      </c>
      <c r="DR40" s="486">
        <v>0.60216193600000001</v>
      </c>
      <c r="DS40" s="486">
        <v>0.33636393399999998</v>
      </c>
      <c r="DT40" s="487">
        <f>SQRT((0.0391*10^6)/(DR40-0.154))-273.15</f>
        <v>22.223068630894147</v>
      </c>
      <c r="DV40" s="552" t="s">
        <v>665</v>
      </c>
    </row>
    <row r="41" spans="1:128" s="486" customFormat="1" x14ac:dyDescent="0.2">
      <c r="A41" s="486">
        <v>2017</v>
      </c>
      <c r="B41" s="486" t="s">
        <v>474</v>
      </c>
      <c r="C41" s="486">
        <v>2520</v>
      </c>
      <c r="D41" s="486" t="s">
        <v>430</v>
      </c>
      <c r="E41" s="486">
        <v>1</v>
      </c>
      <c r="F41" s="486" t="s">
        <v>418</v>
      </c>
      <c r="G41" s="486">
        <v>-7.4993522280000002</v>
      </c>
      <c r="H41" s="486">
        <v>6.0951180000000001E-3</v>
      </c>
      <c r="I41" s="486">
        <v>30</v>
      </c>
      <c r="J41" s="488">
        <v>5.94E-5</v>
      </c>
      <c r="K41" s="486">
        <v>7.3545069999999997E-3</v>
      </c>
      <c r="L41" s="486">
        <v>0.65228446200000001</v>
      </c>
      <c r="M41" s="486">
        <v>-6.0256209920000003</v>
      </c>
      <c r="N41" s="486">
        <v>1.1255372E-2</v>
      </c>
      <c r="O41" s="486">
        <v>30</v>
      </c>
      <c r="P41" s="486">
        <v>-7.4303599999999998E-4</v>
      </c>
      <c r="Q41" s="486">
        <v>0.33775467199999998</v>
      </c>
      <c r="R41" s="486">
        <v>7.5765200000000004E-4</v>
      </c>
      <c r="S41" s="486">
        <v>2.5964517570000001</v>
      </c>
      <c r="T41" s="486">
        <v>5.7993029999999996E-3</v>
      </c>
      <c r="U41" s="486">
        <v>30</v>
      </c>
      <c r="V41" s="488">
        <v>2.9899999999999998E-5</v>
      </c>
      <c r="W41" s="486">
        <v>2.0625190000000001E-3</v>
      </c>
      <c r="X41" s="486">
        <v>0.81164760300000005</v>
      </c>
      <c r="Y41" s="486">
        <v>1.388959767</v>
      </c>
      <c r="Z41" s="486">
        <v>1.1329311999999999E-2</v>
      </c>
      <c r="AA41" s="486">
        <v>30</v>
      </c>
      <c r="AB41" s="486">
        <v>-7.4771600000000005E-4</v>
      </c>
      <c r="AC41" s="486">
        <v>0.33757339800000002</v>
      </c>
      <c r="AD41" s="486">
        <v>7.60734E-4</v>
      </c>
      <c r="AE41" s="486">
        <v>3.7471004219999999</v>
      </c>
      <c r="AF41" s="486">
        <v>6.7667361999999995E-2</v>
      </c>
      <c r="AG41" s="486">
        <v>30</v>
      </c>
      <c r="AH41" s="486">
        <v>-8.1211200000000003E-4</v>
      </c>
      <c r="AI41" s="486">
        <v>1.1162854999999999E-2</v>
      </c>
      <c r="AJ41" s="486">
        <v>0.57844149499999997</v>
      </c>
      <c r="AK41" s="486">
        <v>-0.300207</v>
      </c>
      <c r="AL41" s="486">
        <v>6.6626306999999996E-2</v>
      </c>
      <c r="AM41" s="486">
        <v>30</v>
      </c>
      <c r="AN41" s="486">
        <v>-1.05795E-4</v>
      </c>
      <c r="AO41" s="486">
        <v>1.95408E-4</v>
      </c>
      <c r="AP41" s="486">
        <v>0.94155523100000005</v>
      </c>
      <c r="AQ41" s="486">
        <v>2.601209039</v>
      </c>
      <c r="AR41" s="486">
        <v>0.31290562999999999</v>
      </c>
      <c r="AS41" s="486">
        <v>30</v>
      </c>
      <c r="AT41" s="486">
        <v>7.2505340000000003E-3</v>
      </c>
      <c r="AU41" s="486">
        <v>4.1611646000000002E-2</v>
      </c>
      <c r="AV41" s="486">
        <v>0.27959059000000003</v>
      </c>
      <c r="AW41" s="486">
        <v>-0.178119165</v>
      </c>
      <c r="AX41" s="486">
        <v>0.31767838199999998</v>
      </c>
      <c r="AY41" s="486">
        <v>30</v>
      </c>
      <c r="AZ41" s="486">
        <v>8.7235520000000007E-3</v>
      </c>
      <c r="BA41" s="486">
        <v>5.8440385999999997E-2</v>
      </c>
      <c r="BB41" s="486">
        <v>0.19808888599999999</v>
      </c>
      <c r="BC41" s="486">
        <v>-16.226538229999999</v>
      </c>
      <c r="BD41" s="486">
        <v>8.2046463949999993</v>
      </c>
      <c r="BE41" s="486">
        <v>30</v>
      </c>
      <c r="BF41" s="486">
        <v>0.246668843</v>
      </c>
      <c r="BG41" s="486">
        <v>7.0050390000000004E-2</v>
      </c>
      <c r="BH41" s="486">
        <v>0.15753460799999999</v>
      </c>
      <c r="BI41" s="486">
        <v>-21.614669360000001</v>
      </c>
      <c r="BJ41" s="486">
        <v>8.1646138710000002</v>
      </c>
      <c r="BK41" s="486">
        <v>30</v>
      </c>
      <c r="BL41" s="486">
        <v>0.246725624</v>
      </c>
      <c r="BM41" s="486">
        <v>7.0771583999999998E-2</v>
      </c>
      <c r="BN41" s="486">
        <v>0.15533354999999999</v>
      </c>
      <c r="BO41" s="486">
        <v>1.1843869E-2</v>
      </c>
      <c r="BP41" s="488">
        <v>8.9299999999999999E-8</v>
      </c>
      <c r="BQ41" s="486">
        <v>1.1813196999999999E-2</v>
      </c>
      <c r="BR41" s="488">
        <v>6.5400000000000003E-8</v>
      </c>
      <c r="BS41" s="486">
        <v>1.1879852E-2</v>
      </c>
      <c r="BT41" s="486">
        <v>4.2491630000000002E-3</v>
      </c>
      <c r="BU41" s="488">
        <v>9.9999999999999995E-8</v>
      </c>
      <c r="BV41" s="486">
        <v>4.243269E-3</v>
      </c>
      <c r="BW41" s="488">
        <v>1.2800000000000001E-7</v>
      </c>
      <c r="BX41" s="486">
        <v>4.1604609999999998E-3</v>
      </c>
      <c r="BY41" s="488">
        <v>4.8199999999999999E-5</v>
      </c>
      <c r="BZ41" s="488">
        <v>4.7500000000000003E-9</v>
      </c>
      <c r="CA41" s="488">
        <v>4.8099999999999997E-5</v>
      </c>
      <c r="CB41" s="488">
        <v>4.8300000000000001E-9</v>
      </c>
      <c r="CC41" s="488">
        <v>4.7700000000000001E-5</v>
      </c>
      <c r="CD41" s="488">
        <v>4.6800000000000001E-6</v>
      </c>
      <c r="CE41" s="488">
        <v>7.37E-9</v>
      </c>
      <c r="CF41" s="488">
        <v>4.6700000000000002E-6</v>
      </c>
      <c r="CG41" s="488">
        <v>7.0100000000000004E-9</v>
      </c>
      <c r="CH41" s="488">
        <v>4.33E-6</v>
      </c>
      <c r="CI41" s="488">
        <v>9.3699999999999999E-8</v>
      </c>
      <c r="CJ41" s="488">
        <v>2.8900000000000002E-9</v>
      </c>
      <c r="CK41" s="488">
        <v>9.5200000000000005E-8</v>
      </c>
      <c r="CL41" s="488">
        <v>2.6599999999999999E-9</v>
      </c>
      <c r="CM41" s="488">
        <v>4.6800000000000002E-8</v>
      </c>
      <c r="CN41" s="489">
        <v>45204.78125</v>
      </c>
      <c r="CO41" s="486">
        <v>1696556745</v>
      </c>
      <c r="CP41" s="486" t="s">
        <v>420</v>
      </c>
      <c r="CQ41" s="486" t="s">
        <v>416</v>
      </c>
      <c r="CR41" s="486" t="s">
        <v>415</v>
      </c>
      <c r="CS41" s="486">
        <v>2562</v>
      </c>
      <c r="CT41" s="486">
        <v>79.925380000000004</v>
      </c>
      <c r="CU41" s="486">
        <v>2.6199999999999999E-3</v>
      </c>
      <c r="CV41" s="486">
        <v>3</v>
      </c>
      <c r="CW41" s="488">
        <v>2.8299999999999999E-8</v>
      </c>
      <c r="CX41" s="488">
        <v>1.05E-7</v>
      </c>
      <c r="CY41" s="486">
        <v>3</v>
      </c>
      <c r="CZ41" s="486">
        <v>30</v>
      </c>
      <c r="DA41" s="488">
        <v>2.65E-7</v>
      </c>
      <c r="DB41" s="488">
        <v>5.4300000000000003E-8</v>
      </c>
      <c r="DC41" s="486">
        <v>0.26477719999999999</v>
      </c>
      <c r="DD41" s="488">
        <v>5.2399999999999999E-8</v>
      </c>
      <c r="DE41" s="488">
        <v>4.6700000000000001E-8</v>
      </c>
      <c r="DF41" s="488">
        <v>4.1500000000000001E-8</v>
      </c>
      <c r="DG41" s="488">
        <v>2.5299999999999999E-12</v>
      </c>
      <c r="DH41" s="488">
        <v>2.2499999999999999E-12</v>
      </c>
      <c r="DI41" s="488">
        <v>2E-12</v>
      </c>
      <c r="DJ41" s="486">
        <v>-1.0354991629999999</v>
      </c>
      <c r="DK41" s="486">
        <v>-0.49027779199999999</v>
      </c>
      <c r="DL41" s="486">
        <v>-1.1845156000000001E-2</v>
      </c>
      <c r="DM41" s="488">
        <v>-3.9499999999999998E-10</v>
      </c>
      <c r="DN41" s="488">
        <v>-3.7999999999999998E-10</v>
      </c>
      <c r="DO41" s="486">
        <v>3.1196478999999999E-2</v>
      </c>
      <c r="DP41" s="486">
        <v>-7.8527727650000001</v>
      </c>
      <c r="DQ41" s="486">
        <v>-5.4071452229999997</v>
      </c>
      <c r="DR41" s="486">
        <v>0.59264681299999999</v>
      </c>
      <c r="DS41" s="486">
        <v>0.30844579900000002</v>
      </c>
      <c r="DT41" s="487">
        <f>SQRT((0.0391*10^6)/(DR41-0.154))-273.15</f>
        <v>25.409496413786599</v>
      </c>
    </row>
    <row r="42" spans="1:128" s="486" customFormat="1" x14ac:dyDescent="0.2">
      <c r="A42" s="486">
        <v>2032</v>
      </c>
      <c r="B42" s="486" t="s">
        <v>473</v>
      </c>
      <c r="C42" s="486">
        <v>2520</v>
      </c>
      <c r="D42" s="486" t="s">
        <v>430</v>
      </c>
      <c r="E42" s="486">
        <v>1</v>
      </c>
      <c r="F42" s="486" t="s">
        <v>418</v>
      </c>
      <c r="G42" s="486">
        <v>-7.5028341950000002</v>
      </c>
      <c r="H42" s="486">
        <v>4.7636199999999997E-3</v>
      </c>
      <c r="I42" s="486">
        <v>30</v>
      </c>
      <c r="J42" s="486">
        <v>-1.4906199999999999E-4</v>
      </c>
      <c r="K42" s="486">
        <v>7.5886433000000003E-2</v>
      </c>
      <c r="L42" s="486">
        <v>0.140641504</v>
      </c>
      <c r="M42" s="486">
        <v>-6.1841893040000002</v>
      </c>
      <c r="N42" s="486">
        <v>1.5176151000000001E-2</v>
      </c>
      <c r="O42" s="486">
        <v>30</v>
      </c>
      <c r="P42" s="486">
        <v>-1.375069E-3</v>
      </c>
      <c r="Q42" s="486">
        <v>0.636248971</v>
      </c>
      <c r="R42" s="488">
        <v>1.31E-7</v>
      </c>
      <c r="S42" s="486">
        <v>2.5875951430000002</v>
      </c>
      <c r="T42" s="486">
        <v>4.637899E-3</v>
      </c>
      <c r="U42" s="486">
        <v>30</v>
      </c>
      <c r="V42" s="486">
        <v>-1.8896000000000001E-4</v>
      </c>
      <c r="W42" s="486">
        <v>0.12864656099999999</v>
      </c>
      <c r="X42" s="486">
        <v>5.1609768E-2</v>
      </c>
      <c r="Y42" s="486">
        <v>1.2293585359999999</v>
      </c>
      <c r="Z42" s="486">
        <v>1.5276456000000001E-2</v>
      </c>
      <c r="AA42" s="486">
        <v>30</v>
      </c>
      <c r="AB42" s="486">
        <v>-1.384276E-3</v>
      </c>
      <c r="AC42" s="486">
        <v>0.63635892199999999</v>
      </c>
      <c r="AD42" s="488">
        <v>1.3E-7</v>
      </c>
      <c r="AE42" s="486">
        <v>3.6281018199999999</v>
      </c>
      <c r="AF42" s="486">
        <v>8.4640296000000004E-2</v>
      </c>
      <c r="AG42" s="486">
        <v>30</v>
      </c>
      <c r="AH42" s="486">
        <v>2.0367419999999998E-3</v>
      </c>
      <c r="AI42" s="486">
        <v>4.4876556999999997E-2</v>
      </c>
      <c r="AJ42" s="486">
        <v>0.26109339300000001</v>
      </c>
      <c r="AK42" s="486">
        <v>-0.252976649</v>
      </c>
      <c r="AL42" s="486">
        <v>8.8792521999999999E-2</v>
      </c>
      <c r="AM42" s="486">
        <v>30</v>
      </c>
      <c r="AN42" s="486">
        <v>3.582062E-3</v>
      </c>
      <c r="AO42" s="486">
        <v>0.12612904</v>
      </c>
      <c r="AP42" s="486">
        <v>5.4120152999999997E-2</v>
      </c>
      <c r="AQ42" s="486">
        <v>2.2763023090000001</v>
      </c>
      <c r="AR42" s="486">
        <v>0.27830512400000001</v>
      </c>
      <c r="AS42" s="486">
        <v>30</v>
      </c>
      <c r="AT42" s="486">
        <v>5.762049E-3</v>
      </c>
      <c r="AU42" s="486">
        <v>3.3221041E-2</v>
      </c>
      <c r="AV42" s="486">
        <v>0.335045064</v>
      </c>
      <c r="AW42" s="486">
        <v>-0.18344923099999999</v>
      </c>
      <c r="AX42" s="486">
        <v>0.28423565699999997</v>
      </c>
      <c r="AY42" s="486">
        <v>30</v>
      </c>
      <c r="AZ42" s="486">
        <v>8.5123009999999999E-3</v>
      </c>
      <c r="BA42" s="486">
        <v>6.9508603000000002E-2</v>
      </c>
      <c r="BB42" s="486">
        <v>0.15921030799999999</v>
      </c>
      <c r="BC42" s="486">
        <v>-10.78389584</v>
      </c>
      <c r="BD42" s="486">
        <v>8.2212772839999992</v>
      </c>
      <c r="BE42" s="486">
        <v>30</v>
      </c>
      <c r="BF42" s="486">
        <v>0.29823591300000002</v>
      </c>
      <c r="BG42" s="486">
        <v>0.101986571</v>
      </c>
      <c r="BH42" s="486">
        <v>8.5392697000000004E-2</v>
      </c>
      <c r="BI42" s="486">
        <v>-15.88430601</v>
      </c>
      <c r="BJ42" s="486">
        <v>8.1976984230000003</v>
      </c>
      <c r="BK42" s="486">
        <v>30</v>
      </c>
      <c r="BL42" s="486">
        <v>0.29956083300000003</v>
      </c>
      <c r="BM42" s="486">
        <v>0.103487498</v>
      </c>
      <c r="BN42" s="486">
        <v>8.2998930999999998E-2</v>
      </c>
      <c r="BO42" s="486">
        <v>1.1844042000000001E-2</v>
      </c>
      <c r="BP42" s="488">
        <v>2.7599999999999998E-7</v>
      </c>
      <c r="BQ42" s="486">
        <v>1.1813473999999999E-2</v>
      </c>
      <c r="BR42" s="488">
        <v>2.5699999999999999E-7</v>
      </c>
      <c r="BS42" s="486">
        <v>1.1879747E-2</v>
      </c>
      <c r="BT42" s="486">
        <v>4.2491270000000001E-3</v>
      </c>
      <c r="BU42" s="488">
        <v>2.11E-7</v>
      </c>
      <c r="BV42" s="486">
        <v>4.24391E-3</v>
      </c>
      <c r="BW42" s="488">
        <v>1.5800000000000001E-7</v>
      </c>
      <c r="BX42" s="486">
        <v>4.1597980000000001E-3</v>
      </c>
      <c r="BY42" s="488">
        <v>4.8399999999999997E-5</v>
      </c>
      <c r="BZ42" s="488">
        <v>5.7999999999999998E-9</v>
      </c>
      <c r="CA42" s="488">
        <v>4.8199999999999999E-5</v>
      </c>
      <c r="CB42" s="488">
        <v>4.9200000000000004E-9</v>
      </c>
      <c r="CC42" s="488">
        <v>4.7700000000000001E-5</v>
      </c>
      <c r="CD42" s="488">
        <v>4.6999999999999999E-6</v>
      </c>
      <c r="CE42" s="488">
        <v>7.6700000000000002E-9</v>
      </c>
      <c r="CF42" s="488">
        <v>4.69E-6</v>
      </c>
      <c r="CG42" s="488">
        <v>7.3600000000000002E-9</v>
      </c>
      <c r="CH42" s="488">
        <v>4.3200000000000001E-6</v>
      </c>
      <c r="CI42" s="488">
        <v>9.6600000000000005E-8</v>
      </c>
      <c r="CJ42" s="488">
        <v>2.88E-9</v>
      </c>
      <c r="CK42" s="488">
        <v>9.7699999999999995E-8</v>
      </c>
      <c r="CL42" s="488">
        <v>2.64E-9</v>
      </c>
      <c r="CM42" s="488">
        <v>4.6999999999999997E-8</v>
      </c>
      <c r="CN42" s="489">
        <v>45205.809027777781</v>
      </c>
      <c r="CO42" s="486">
        <v>1696645526</v>
      </c>
      <c r="CP42" s="486" t="s">
        <v>422</v>
      </c>
      <c r="CQ42" s="486" t="s">
        <v>416</v>
      </c>
      <c r="CR42" s="486" t="s">
        <v>415</v>
      </c>
      <c r="CS42" s="486">
        <v>2712</v>
      </c>
      <c r="CT42" s="486">
        <v>73.669269999999997</v>
      </c>
      <c r="CU42" s="486">
        <v>3.0000000000000001E-3</v>
      </c>
      <c r="CV42" s="486">
        <v>3</v>
      </c>
      <c r="CW42" s="488">
        <v>2.7400000000000001E-8</v>
      </c>
      <c r="CX42" s="488">
        <v>1.05E-7</v>
      </c>
      <c r="CY42" s="486">
        <v>3</v>
      </c>
      <c r="CZ42" s="486">
        <v>30</v>
      </c>
      <c r="DA42" s="488">
        <v>2.65E-7</v>
      </c>
      <c r="DB42" s="488">
        <v>5.2100000000000003E-8</v>
      </c>
      <c r="DC42" s="486">
        <v>7.3099999999999998E-2</v>
      </c>
      <c r="DD42" s="488">
        <v>5.02E-8</v>
      </c>
      <c r="DE42" s="488">
        <v>4.4600000000000002E-8</v>
      </c>
      <c r="DF42" s="488">
        <v>3.9400000000000002E-8</v>
      </c>
      <c r="DG42" s="488">
        <v>2.4299999999999999E-12</v>
      </c>
      <c r="DH42" s="488">
        <v>2.1600000000000001E-12</v>
      </c>
      <c r="DI42" s="488">
        <v>1.9100000000000001E-12</v>
      </c>
      <c r="DJ42" s="486">
        <v>-1.5684087069999999</v>
      </c>
      <c r="DK42" s="486">
        <v>-0.83591651199999994</v>
      </c>
      <c r="DL42" s="486">
        <v>-0.152761384</v>
      </c>
      <c r="DM42" s="488">
        <v>-4.04E-10</v>
      </c>
      <c r="DN42" s="488">
        <v>-3.7799999999999999E-10</v>
      </c>
      <c r="DO42" s="486">
        <v>2.7164185E-2</v>
      </c>
      <c r="DP42" s="486">
        <v>-7.8562649220000003</v>
      </c>
      <c r="DQ42" s="486">
        <v>-5.5652227749999996</v>
      </c>
      <c r="DR42" s="486">
        <v>0.64156695200000002</v>
      </c>
      <c r="DS42" s="486">
        <v>0.28976343500000001</v>
      </c>
      <c r="DT42" s="487">
        <f>SQRT((0.0391*10^6)/(DR42-0.154))-273.15</f>
        <v>10.035653858138971</v>
      </c>
    </row>
    <row r="43" spans="1:128" customFormat="1" x14ac:dyDescent="0.2">
      <c r="B43" t="s">
        <v>652</v>
      </c>
      <c r="DP43">
        <v>-7.82168151824823</v>
      </c>
      <c r="DQ43">
        <v>-5.41804866612814</v>
      </c>
      <c r="DR43">
        <v>0.62175276559875303</v>
      </c>
      <c r="DS43">
        <v>0.176647617972858</v>
      </c>
      <c r="DT43" s="487">
        <f>SQRT((0.0391*10^6)/(DR43-0.154))-273.15</f>
        <v>15.971372394253308</v>
      </c>
    </row>
    <row r="44" spans="1:128" customFormat="1" x14ac:dyDescent="0.2">
      <c r="DP44" s="540">
        <v>-7.8496452697392396</v>
      </c>
      <c r="DQ44" s="540">
        <v>-5.4745097420408699</v>
      </c>
      <c r="DR44" s="540">
        <v>0.59318773485922505</v>
      </c>
      <c r="DS44" s="540">
        <v>-0.78001073517945596</v>
      </c>
      <c r="DT44" s="560">
        <f>SQRT((0.0391*10^6)/(DR44-0.154))-273.15</f>
        <v>25.225580627407282</v>
      </c>
      <c r="DU44" s="561"/>
      <c r="DV44" s="540" t="s">
        <v>667</v>
      </c>
    </row>
    <row r="45" spans="1:128" x14ac:dyDescent="0.2">
      <c r="R45" s="423"/>
      <c r="AD45" s="423"/>
      <c r="BP45" s="423"/>
      <c r="BR45" s="423"/>
      <c r="BU45" s="423"/>
      <c r="BW45" s="423"/>
      <c r="BY45" s="423"/>
      <c r="BZ45" s="423"/>
      <c r="CA45" s="423"/>
      <c r="CB45" s="423"/>
      <c r="CC45" s="423"/>
      <c r="CD45" s="423"/>
      <c r="CE45" s="423"/>
      <c r="CF45" s="423"/>
      <c r="CG45" s="423"/>
      <c r="CH45" s="423"/>
      <c r="CI45" s="423"/>
      <c r="CJ45" s="423"/>
      <c r="CK45" s="423"/>
      <c r="CL45" s="423"/>
      <c r="CM45" s="423"/>
      <c r="CN45" s="424"/>
      <c r="CW45" s="423"/>
      <c r="CX45" s="423"/>
      <c r="DA45" s="423"/>
      <c r="DB45" s="423"/>
      <c r="DD45" s="423"/>
      <c r="DE45" s="423"/>
      <c r="DF45" s="423"/>
      <c r="DG45" s="423"/>
      <c r="DH45" s="423"/>
      <c r="DI45" s="423"/>
      <c r="DM45" s="423"/>
      <c r="DN45" s="423"/>
      <c r="DO45" s="425" t="s">
        <v>437</v>
      </c>
      <c r="DP45" s="425">
        <f>AVERAGE(DP40:DP43)</f>
        <v>-7.8284368008120575</v>
      </c>
      <c r="DQ45" s="425">
        <f>AVERAGE(DQ40:DQ43)</f>
        <v>-5.464213667782035</v>
      </c>
      <c r="DR45" s="425">
        <f>AVERAGE(DR40:DR43)</f>
        <v>0.61453211664968821</v>
      </c>
      <c r="DS45" s="425">
        <f>AVERAGE(DS40:DS43)</f>
        <v>0.2778051964932145</v>
      </c>
      <c r="DT45" s="440">
        <f>AVERAGE(DT40:DT43)</f>
        <v>18.409897824268256</v>
      </c>
    </row>
    <row r="46" spans="1:128" x14ac:dyDescent="0.2">
      <c r="R46" s="423"/>
      <c r="AD46" s="423"/>
      <c r="BP46" s="423"/>
      <c r="BR46" s="423"/>
      <c r="BU46" s="423"/>
      <c r="BW46" s="423"/>
      <c r="BY46" s="423"/>
      <c r="BZ46" s="423"/>
      <c r="CA46" s="423"/>
      <c r="CB46" s="423"/>
      <c r="CC46" s="423"/>
      <c r="CD46" s="423"/>
      <c r="CE46" s="423"/>
      <c r="CF46" s="423"/>
      <c r="CG46" s="423"/>
      <c r="CH46" s="423"/>
      <c r="CI46" s="423"/>
      <c r="CJ46" s="423"/>
      <c r="CK46" s="423"/>
      <c r="CL46" s="423"/>
      <c r="CM46" s="423"/>
      <c r="CN46" s="424"/>
      <c r="CW46" s="423"/>
      <c r="CX46" s="423"/>
      <c r="DA46" s="423"/>
      <c r="DB46" s="423"/>
      <c r="DD46" s="423"/>
      <c r="DE46" s="423"/>
      <c r="DF46" s="423"/>
      <c r="DG46" s="423"/>
      <c r="DH46" s="423"/>
      <c r="DI46" s="423"/>
      <c r="DM46" s="423"/>
      <c r="DN46" s="423"/>
      <c r="DO46" s="425" t="s">
        <v>394</v>
      </c>
      <c r="DP46" s="425">
        <f>STDEV(DP40:DP43)</f>
        <v>3.4030558312342141E-2</v>
      </c>
      <c r="DQ46" s="425">
        <f>STDEV(DQ40:DQ43)</f>
        <v>7.2101322672729562E-2</v>
      </c>
      <c r="DR46" s="425">
        <f>STDEV(DR40:DR43)</f>
        <v>2.1717949402963722E-2</v>
      </c>
      <c r="DS46" s="425">
        <f>STDEV(DS40:DS43)</f>
        <v>7.0104273337780493E-2</v>
      </c>
      <c r="DT46" s="425">
        <f>STDEV(DT40:DT43)</f>
        <v>6.8217549133140558</v>
      </c>
    </row>
    <row r="47" spans="1:128" x14ac:dyDescent="0.2">
      <c r="R47" s="423"/>
      <c r="AD47" s="423"/>
      <c r="BP47" s="423"/>
      <c r="BR47" s="423"/>
      <c r="BU47" s="423"/>
      <c r="BW47" s="423"/>
      <c r="BY47" s="423"/>
      <c r="BZ47" s="423"/>
      <c r="CA47" s="423"/>
      <c r="CB47" s="423"/>
      <c r="CC47" s="423"/>
      <c r="CD47" s="423"/>
      <c r="CE47" s="423"/>
      <c r="CF47" s="423"/>
      <c r="CG47" s="423"/>
      <c r="CH47" s="423"/>
      <c r="CI47" s="423"/>
      <c r="CJ47" s="423"/>
      <c r="CK47" s="423"/>
      <c r="CL47" s="423"/>
      <c r="CM47" s="423"/>
      <c r="CN47" s="424"/>
      <c r="CW47" s="423"/>
      <c r="CX47" s="423"/>
      <c r="DA47" s="423"/>
      <c r="DB47" s="423"/>
      <c r="DD47" s="423"/>
      <c r="DE47" s="423"/>
      <c r="DF47" s="423"/>
      <c r="DG47" s="423"/>
      <c r="DH47" s="423"/>
      <c r="DI47" s="423"/>
      <c r="DM47" s="423"/>
      <c r="DN47" s="423"/>
      <c r="DO47" s="425" t="s">
        <v>436</v>
      </c>
      <c r="DP47" s="425">
        <f>DP46/SQRT(4)</f>
        <v>1.701527915617107E-2</v>
      </c>
      <c r="DQ47" s="425">
        <f>DQ46/SQRT(4)</f>
        <v>3.6050661336364781E-2</v>
      </c>
      <c r="DR47" s="425">
        <f>DR46/SQRT(4)</f>
        <v>1.0858974701481861E-2</v>
      </c>
      <c r="DS47" s="425">
        <f>DS46/SQRT(4)</f>
        <v>3.5052136668890246E-2</v>
      </c>
      <c r="DT47" s="425">
        <f>DT46/SQRT(4)</f>
        <v>3.4108774566570279</v>
      </c>
    </row>
    <row r="48" spans="1:128" x14ac:dyDescent="0.2">
      <c r="R48" s="423"/>
      <c r="AD48" s="423"/>
      <c r="BP48" s="423"/>
      <c r="BR48" s="423"/>
      <c r="BU48" s="423"/>
      <c r="BW48" s="423"/>
      <c r="BY48" s="423"/>
      <c r="BZ48" s="423"/>
      <c r="CA48" s="423"/>
      <c r="CB48" s="423"/>
      <c r="CC48" s="423"/>
      <c r="CD48" s="423"/>
      <c r="CE48" s="423"/>
      <c r="CF48" s="423"/>
      <c r="CG48" s="423"/>
      <c r="CH48" s="423"/>
      <c r="CI48" s="423"/>
      <c r="CJ48" s="423"/>
      <c r="CK48" s="423"/>
      <c r="CL48" s="423"/>
      <c r="CM48" s="423"/>
      <c r="CN48" s="424"/>
      <c r="CW48" s="423"/>
      <c r="CX48" s="423"/>
      <c r="DA48" s="423"/>
      <c r="DB48" s="423"/>
      <c r="DD48" s="423"/>
      <c r="DE48" s="423"/>
      <c r="DF48" s="423"/>
      <c r="DG48" s="423"/>
      <c r="DH48" s="423"/>
      <c r="DI48" s="423"/>
      <c r="DM48" s="423"/>
      <c r="DN48" s="423"/>
      <c r="DT48" s="487"/>
      <c r="DX48" s="553" t="s">
        <v>668</v>
      </c>
    </row>
    <row r="49" spans="1:126" customFormat="1" x14ac:dyDescent="0.2">
      <c r="A49">
        <v>2002</v>
      </c>
      <c r="B49" t="s">
        <v>650</v>
      </c>
      <c r="C49" t="s">
        <v>430</v>
      </c>
      <c r="D49">
        <v>1</v>
      </c>
      <c r="E49" t="s">
        <v>660</v>
      </c>
      <c r="F49">
        <v>-7.6904652824470201</v>
      </c>
      <c r="G49">
        <v>5.4602796901190003E-3</v>
      </c>
      <c r="H49">
        <v>30</v>
      </c>
      <c r="I49">
        <v>1.2624727052700001E-4</v>
      </c>
      <c r="J49">
        <v>4.1430094065672003E-2</v>
      </c>
      <c r="K49">
        <v>0.28066471781742203</v>
      </c>
      <c r="L49">
        <v>-7.1554596036557996</v>
      </c>
      <c r="M49">
        <v>7.496959572402E-3</v>
      </c>
      <c r="N49">
        <v>30</v>
      </c>
      <c r="O49">
        <v>-1.62085111386E-4</v>
      </c>
      <c r="P49">
        <v>3.6225768903833999E-2</v>
      </c>
      <c r="Q49">
        <v>0.31372581871996202</v>
      </c>
      <c r="R49">
        <v>2.3764245547037901</v>
      </c>
      <c r="S49">
        <v>5.166912337687E-3</v>
      </c>
      <c r="T49">
        <v>30</v>
      </c>
      <c r="U49">
        <v>1.13420778025E-4</v>
      </c>
      <c r="V49">
        <v>3.7344337555637E-2</v>
      </c>
      <c r="W49">
        <v>0.306229195897953</v>
      </c>
      <c r="X49">
        <v>0.25141059297468099</v>
      </c>
      <c r="Y49">
        <v>7.5458189867279998E-3</v>
      </c>
      <c r="Z49">
        <v>30</v>
      </c>
      <c r="AA49">
        <v>-1.6286740581900001E-4</v>
      </c>
      <c r="AB49">
        <v>3.6104164106451002E-2</v>
      </c>
      <c r="AC49">
        <v>0.31455462770835002</v>
      </c>
      <c r="AD49">
        <v>2.4271481129700399</v>
      </c>
      <c r="AE49">
        <v>6.8859115558124004E-2</v>
      </c>
      <c r="AF49">
        <v>30</v>
      </c>
      <c r="AG49">
        <v>2.9171007176500001E-4</v>
      </c>
      <c r="AH49">
        <v>1.3908544048189999E-3</v>
      </c>
      <c r="AI49">
        <v>0.84487892157321198</v>
      </c>
      <c r="AJ49">
        <v>-0.272281741445009</v>
      </c>
      <c r="AK49">
        <v>6.7519163422004994E-2</v>
      </c>
      <c r="AL49">
        <v>30</v>
      </c>
      <c r="AM49">
        <v>3.3419834472999999E-4</v>
      </c>
      <c r="AN49">
        <v>1.8986992824350001E-3</v>
      </c>
      <c r="AO49">
        <v>0.81915485922897902</v>
      </c>
      <c r="AP49">
        <v>0.36940645069973099</v>
      </c>
      <c r="AQ49">
        <v>0.211477269537271</v>
      </c>
      <c r="AR49">
        <v>30</v>
      </c>
      <c r="AS49">
        <v>-1.445020681272E-3</v>
      </c>
      <c r="AT49">
        <v>3.6184488615210002E-3</v>
      </c>
      <c r="AU49">
        <v>0.75218414638322995</v>
      </c>
      <c r="AV49">
        <v>-0.13338859834015199</v>
      </c>
      <c r="AW49">
        <v>0.213434738540074</v>
      </c>
      <c r="AX49">
        <v>30</v>
      </c>
      <c r="AY49">
        <v>-1.1186219785179999E-3</v>
      </c>
      <c r="AZ49">
        <v>2.1288162944270001E-3</v>
      </c>
      <c r="BA49">
        <v>0.80869898419219999</v>
      </c>
      <c r="BB49">
        <v>-14.382724394423199</v>
      </c>
      <c r="BC49">
        <v>6.4818187496766697</v>
      </c>
      <c r="BD49">
        <v>30</v>
      </c>
      <c r="BE49">
        <v>3.8581051032000997E-2</v>
      </c>
      <c r="BF49">
        <v>2.7457187296330001E-3</v>
      </c>
      <c r="BG49">
        <v>0.78331774790662501</v>
      </c>
      <c r="BH49">
        <v>-17.3595847537282</v>
      </c>
      <c r="BI49">
        <v>6.45950877737961</v>
      </c>
      <c r="BJ49">
        <v>30</v>
      </c>
      <c r="BK49">
        <v>3.8661164593199002E-2</v>
      </c>
      <c r="BL49">
        <v>2.7762117081990001E-3</v>
      </c>
      <c r="BM49">
        <v>0.78214643238214399</v>
      </c>
      <c r="BN49">
        <v>1.1840960860365001E-2</v>
      </c>
      <c r="BO49" s="539">
        <v>1.0794252974195099E-7</v>
      </c>
      <c r="BP49">
        <v>1.1812888422529999E-2</v>
      </c>
      <c r="BQ49" s="539">
        <v>1.2070700474672001E-7</v>
      </c>
      <c r="BR49">
        <v>1.1877245235892999E-2</v>
      </c>
      <c r="BS49">
        <v>4.2432248120340002E-3</v>
      </c>
      <c r="BT49" s="539">
        <v>1.00911078534055E-7</v>
      </c>
      <c r="BU49">
        <v>4.2421582887540001E-3</v>
      </c>
      <c r="BV49" s="539">
        <v>1.06558717188652E-7</v>
      </c>
      <c r="BW49">
        <v>4.1557348800309998E-3</v>
      </c>
      <c r="BX49" s="539">
        <v>4.8144626722443099E-5</v>
      </c>
      <c r="BY49" s="539">
        <v>3.1180933996410199E-9</v>
      </c>
      <c r="BZ49" s="539">
        <v>4.80280556099803E-5</v>
      </c>
      <c r="CA49" s="539">
        <v>2.8140604201902299E-9</v>
      </c>
      <c r="CB49" s="539">
        <v>4.7618416186543301E-5</v>
      </c>
      <c r="CC49" s="539">
        <v>4.6384455731790699E-6</v>
      </c>
      <c r="CD49" s="539">
        <v>6.09495224662157E-9</v>
      </c>
      <c r="CE49" s="539">
        <v>4.6367328477295404E-6</v>
      </c>
      <c r="CF49" s="539">
        <v>6.1027975817930104E-9</v>
      </c>
      <c r="CG49" s="539">
        <v>4.3166196996409997E-6</v>
      </c>
      <c r="CH49" s="539">
        <v>8.3321065709856696E-8</v>
      </c>
      <c r="CI49" s="539">
        <v>2.2202407733441102E-9</v>
      </c>
      <c r="CJ49" s="539">
        <v>8.4537144868994702E-8</v>
      </c>
      <c r="CK49" s="539">
        <v>2.1923644592544101E-9</v>
      </c>
      <c r="CL49" s="539">
        <v>4.6867214458150599E-8</v>
      </c>
      <c r="CM49">
        <v>1696494122</v>
      </c>
      <c r="CN49" t="s">
        <v>420</v>
      </c>
      <c r="CO49" t="s">
        <v>416</v>
      </c>
      <c r="CP49" t="s">
        <v>661</v>
      </c>
      <c r="CQ49">
        <v>2758</v>
      </c>
      <c r="CR49">
        <v>44.647060000000003</v>
      </c>
      <c r="CS49">
        <v>1.6188201595359001E-2</v>
      </c>
      <c r="CT49">
        <v>3.4289720000000002E-3</v>
      </c>
      <c r="CU49">
        <v>2</v>
      </c>
      <c r="CV49" s="539">
        <v>2.548387E-8</v>
      </c>
      <c r="CW49" s="539">
        <v>9.988584E-8</v>
      </c>
      <c r="CX49">
        <v>3</v>
      </c>
      <c r="CY49">
        <v>30</v>
      </c>
      <c r="CZ49" s="539">
        <v>2.6470640000000001E-7</v>
      </c>
      <c r="DA49" s="539">
        <v>7.8816569999999999E-8</v>
      </c>
      <c r="DB49">
        <v>0.14457709999999999</v>
      </c>
      <c r="DC49" s="539">
        <v>7.5539586499999996E-8</v>
      </c>
      <c r="DD49" s="539">
        <v>6.6111978500000005E-8</v>
      </c>
      <c r="DE49" s="539">
        <v>5.7732567499999998E-8</v>
      </c>
      <c r="DF49" s="539">
        <v>3.6367116999999999E-12</v>
      </c>
      <c r="DG49" s="539">
        <v>3.1829263833333301E-12</v>
      </c>
      <c r="DH49" s="539">
        <v>2.7795785000000001E-12</v>
      </c>
      <c r="DI49">
        <v>-0.99134860059705998</v>
      </c>
      <c r="DJ49">
        <v>-0.56005516299800595</v>
      </c>
      <c r="DK49">
        <v>-0.153609524987287</v>
      </c>
      <c r="DL49" s="539">
        <v>-6.7847419999999796E-10</v>
      </c>
      <c r="DM49" s="539">
        <v>-6.5993140000000201E-10</v>
      </c>
      <c r="DN49" s="422"/>
      <c r="DO49" s="422"/>
      <c r="DP49">
        <v>-8.0411483693661197</v>
      </c>
      <c r="DQ49">
        <v>-6.5378941327213296</v>
      </c>
      <c r="DR49">
        <v>0.62623273334530505</v>
      </c>
      <c r="DS49">
        <v>0.416541176380405</v>
      </c>
      <c r="DT49" s="487">
        <f t="shared" ref="DT49:DT51" si="1">SQRT((0.0391*10^6)/(DR49-0.154))-273.15</f>
        <v>14.59668896155091</v>
      </c>
    </row>
    <row r="50" spans="1:126" customFormat="1" x14ac:dyDescent="0.2">
      <c r="A50">
        <v>2016</v>
      </c>
      <c r="B50" t="s">
        <v>649</v>
      </c>
      <c r="C50" t="s">
        <v>430</v>
      </c>
      <c r="D50">
        <v>1</v>
      </c>
      <c r="E50" t="s">
        <v>660</v>
      </c>
      <c r="F50">
        <v>-7.7957764735522304</v>
      </c>
      <c r="G50">
        <v>5.3388277940329999E-3</v>
      </c>
      <c r="H50">
        <v>30</v>
      </c>
      <c r="I50" s="539">
        <v>-2.1304443475457201E-5</v>
      </c>
      <c r="J50">
        <v>1.234099751032E-3</v>
      </c>
      <c r="K50">
        <v>0.85378261718371695</v>
      </c>
      <c r="L50">
        <v>-7.2513693567220798</v>
      </c>
      <c r="M50">
        <v>9.1926987158829996E-3</v>
      </c>
      <c r="N50">
        <v>30</v>
      </c>
      <c r="O50">
        <v>-1.2546808503199999E-4</v>
      </c>
      <c r="P50">
        <v>1.4437173921440999E-2</v>
      </c>
      <c r="Q50">
        <v>0.52709392135107702</v>
      </c>
      <c r="R50">
        <v>2.2736884811668499</v>
      </c>
      <c r="S50">
        <v>5.25908392075E-3</v>
      </c>
      <c r="T50">
        <v>30</v>
      </c>
      <c r="U50" s="539">
        <v>-2.45121096319411E-5</v>
      </c>
      <c r="V50">
        <v>1.6836153674079999E-3</v>
      </c>
      <c r="W50">
        <v>0.829547690873494</v>
      </c>
      <c r="X50">
        <v>0.15465854446892899</v>
      </c>
      <c r="Y50">
        <v>9.2596896522599993E-3</v>
      </c>
      <c r="Z50">
        <v>30</v>
      </c>
      <c r="AA50">
        <v>-1.2632450989399999E-4</v>
      </c>
      <c r="AB50">
        <v>1.4423945880230001E-2</v>
      </c>
      <c r="AC50">
        <v>0.52728464309621104</v>
      </c>
      <c r="AD50">
        <v>2.2166422312532399</v>
      </c>
      <c r="AE50">
        <v>5.7879510433777002E-2</v>
      </c>
      <c r="AF50">
        <v>30</v>
      </c>
      <c r="AG50">
        <v>3.5377015437000001E-4</v>
      </c>
      <c r="AH50">
        <v>2.8953054418849999E-3</v>
      </c>
      <c r="AI50">
        <v>0.77763661692018005</v>
      </c>
      <c r="AJ50">
        <v>-0.28143812767757298</v>
      </c>
      <c r="AK50">
        <v>5.6374669134818998E-2</v>
      </c>
      <c r="AL50">
        <v>30</v>
      </c>
      <c r="AM50">
        <v>5.0223648088499999E-4</v>
      </c>
      <c r="AN50">
        <v>6.1510633679799998E-3</v>
      </c>
      <c r="AO50">
        <v>0.68037301768255898</v>
      </c>
      <c r="AP50">
        <v>0.12462491575548899</v>
      </c>
      <c r="AQ50">
        <v>0.249595918551476</v>
      </c>
      <c r="AR50">
        <v>30</v>
      </c>
      <c r="AS50">
        <v>5.7606500487310001E-3</v>
      </c>
      <c r="AT50">
        <v>4.1282855576901999E-2</v>
      </c>
      <c r="AU50">
        <v>0.28153951041708802</v>
      </c>
      <c r="AV50">
        <v>-0.18463598158805899</v>
      </c>
      <c r="AW50">
        <v>0.25785814808476998</v>
      </c>
      <c r="AX50">
        <v>30</v>
      </c>
      <c r="AY50">
        <v>6.0114581989740004E-3</v>
      </c>
      <c r="AZ50">
        <v>4.2121094447048001E-2</v>
      </c>
      <c r="BA50">
        <v>0.276602986459272</v>
      </c>
      <c r="BB50">
        <v>-12.54875521128</v>
      </c>
      <c r="BC50">
        <v>7.0914755094701496</v>
      </c>
      <c r="BD50">
        <v>30</v>
      </c>
      <c r="BE50">
        <v>-0.196784823540684</v>
      </c>
      <c r="BF50">
        <v>5.9677646981991003E-2</v>
      </c>
      <c r="BG50">
        <v>0.19326097938871301</v>
      </c>
      <c r="BH50">
        <v>-15.2364103085572</v>
      </c>
      <c r="BI50">
        <v>7.0704339195402799</v>
      </c>
      <c r="BJ50">
        <v>30</v>
      </c>
      <c r="BK50">
        <v>-0.19597171670319</v>
      </c>
      <c r="BL50">
        <v>5.9538290559052E-2</v>
      </c>
      <c r="BM50">
        <v>0.19379813924091499</v>
      </c>
      <c r="BN50">
        <v>1.1839759650340001E-2</v>
      </c>
      <c r="BO50" s="539">
        <v>3.81270374352596E-7</v>
      </c>
      <c r="BP50">
        <v>1.1812900793825E-2</v>
      </c>
      <c r="BQ50" s="539">
        <v>3.73674786527868E-7</v>
      </c>
      <c r="BR50">
        <v>1.1876027907241999E-2</v>
      </c>
      <c r="BS50">
        <v>4.2430205624199996E-3</v>
      </c>
      <c r="BT50" s="539">
        <v>7.4497175267423397E-8</v>
      </c>
      <c r="BU50">
        <v>4.2423644445210001E-3</v>
      </c>
      <c r="BV50" s="539">
        <v>6.4037648951348298E-8</v>
      </c>
      <c r="BW50">
        <v>4.1553329052289997E-3</v>
      </c>
      <c r="BX50" s="539">
        <v>4.81394238034473E-5</v>
      </c>
      <c r="BY50" s="539">
        <v>2.5219897964208898E-9</v>
      </c>
      <c r="BZ50" s="539">
        <v>4.8032951968409101E-5</v>
      </c>
      <c r="CA50" s="539">
        <v>1.4446064322339401E-9</v>
      </c>
      <c r="CB50" s="539">
        <v>4.7608416500576902E-5</v>
      </c>
      <c r="CC50" s="539">
        <v>4.6327048672700304E-6</v>
      </c>
      <c r="CD50" s="539">
        <v>5.6362960248356E-9</v>
      </c>
      <c r="CE50" s="539">
        <v>4.632127404022E-6</v>
      </c>
      <c r="CF50" s="539">
        <v>5.3529522148754004E-9</v>
      </c>
      <c r="CG50" s="539">
        <v>4.3155634610265097E-6</v>
      </c>
      <c r="CH50" s="539">
        <v>8.1237053124183496E-8</v>
      </c>
      <c r="CI50" s="539">
        <v>1.86091850000893E-9</v>
      </c>
      <c r="CJ50" s="539">
        <v>8.2273847135388502E-8</v>
      </c>
      <c r="CK50" s="539">
        <v>1.9922296129347098E-9</v>
      </c>
      <c r="CL50" s="539">
        <v>4.6954421763809098E-8</v>
      </c>
      <c r="CM50">
        <v>1696552926</v>
      </c>
      <c r="CN50" t="s">
        <v>420</v>
      </c>
      <c r="CO50" t="s">
        <v>416</v>
      </c>
      <c r="CP50" t="s">
        <v>661</v>
      </c>
      <c r="CQ50">
        <v>2590</v>
      </c>
      <c r="CR50">
        <v>48.522790000000001</v>
      </c>
      <c r="CS50">
        <v>1.8734667953667999E-2</v>
      </c>
      <c r="CT50">
        <v>3.4289720000000002E-3</v>
      </c>
      <c r="CU50">
        <v>2</v>
      </c>
      <c r="CV50" s="539">
        <v>2.85088E-8</v>
      </c>
      <c r="CW50" s="539">
        <v>1.051409E-7</v>
      </c>
      <c r="CX50">
        <v>3</v>
      </c>
      <c r="CY50">
        <v>30</v>
      </c>
      <c r="CZ50" s="539">
        <v>2.6475310000000001E-7</v>
      </c>
      <c r="DA50" s="539">
        <v>8.6560359999999998E-8</v>
      </c>
      <c r="DB50">
        <v>-4.9101930000000002E-2</v>
      </c>
      <c r="DC50" s="539">
        <v>8.2697387000000004E-8</v>
      </c>
      <c r="DD50" s="539">
        <v>7.2082361116666701E-8</v>
      </c>
      <c r="DE50" s="539">
        <v>6.2784035499999998E-8</v>
      </c>
      <c r="DF50" s="539">
        <v>3.9807129E-12</v>
      </c>
      <c r="DG50" s="539">
        <v>3.47000123333333E-12</v>
      </c>
      <c r="DH50" s="539">
        <v>3.0224001499999998E-12</v>
      </c>
      <c r="DI50">
        <v>-0.70359526348063695</v>
      </c>
      <c r="DJ50">
        <v>-0.31921611401857503</v>
      </c>
      <c r="DK50">
        <v>-7.3687127395399995E-4</v>
      </c>
      <c r="DL50" s="539">
        <v>-7.6990300000000002E-10</v>
      </c>
      <c r="DM50" s="539">
        <v>-7.6714879999999898E-10</v>
      </c>
      <c r="DN50" s="422"/>
      <c r="DO50" s="422"/>
      <c r="DP50">
        <v>-8.1467548453193093</v>
      </c>
      <c r="DQ50">
        <v>-6.6334953275299098</v>
      </c>
      <c r="DR50">
        <v>0.61614120291287999</v>
      </c>
      <c r="DS50">
        <v>0.21345319624370299</v>
      </c>
      <c r="DT50" s="487">
        <f t="shared" si="1"/>
        <v>17.72140819804315</v>
      </c>
    </row>
    <row r="51" spans="1:126" customFormat="1" x14ac:dyDescent="0.2">
      <c r="A51">
        <v>2034</v>
      </c>
      <c r="B51" t="s">
        <v>648</v>
      </c>
      <c r="C51" t="s">
        <v>430</v>
      </c>
      <c r="D51">
        <v>1</v>
      </c>
      <c r="E51" t="s">
        <v>660</v>
      </c>
      <c r="F51">
        <v>-7.7734393300907101</v>
      </c>
      <c r="G51">
        <v>5.7025122395340001E-3</v>
      </c>
      <c r="H51">
        <v>30</v>
      </c>
      <c r="I51">
        <v>-2.1568246947400001E-4</v>
      </c>
      <c r="J51">
        <v>0.110866144595707</v>
      </c>
      <c r="K51">
        <v>7.2187567576443998E-2</v>
      </c>
      <c r="L51">
        <v>-7.19288272002892</v>
      </c>
      <c r="M51">
        <v>1.2697538214743001E-2</v>
      </c>
      <c r="N51">
        <v>30</v>
      </c>
      <c r="O51">
        <v>-1.071277006895E-3</v>
      </c>
      <c r="P51">
        <v>0.55165329005060304</v>
      </c>
      <c r="Q51" s="539">
        <v>2.60102361728224E-6</v>
      </c>
      <c r="R51">
        <v>2.2968203110341698</v>
      </c>
      <c r="S51">
        <v>5.6096717435169998E-3</v>
      </c>
      <c r="T51">
        <v>30</v>
      </c>
      <c r="U51">
        <v>-2.4116190538599999E-4</v>
      </c>
      <c r="V51">
        <v>0.14323337259649499</v>
      </c>
      <c r="W51">
        <v>3.9183045524852002E-2</v>
      </c>
      <c r="X51">
        <v>0.213570548244676</v>
      </c>
      <c r="Y51">
        <v>1.2785473364899999E-2</v>
      </c>
      <c r="Z51">
        <v>30</v>
      </c>
      <c r="AA51">
        <v>-1.078660571623E-3</v>
      </c>
      <c r="AB51">
        <v>0.55161705751105405</v>
      </c>
      <c r="AC51" s="539">
        <v>2.60404423005005E-6</v>
      </c>
      <c r="AD51">
        <v>2.32194563599402</v>
      </c>
      <c r="AE51">
        <v>6.2074306411114E-2</v>
      </c>
      <c r="AF51">
        <v>30</v>
      </c>
      <c r="AG51">
        <v>-2.100987942566E-3</v>
      </c>
      <c r="AH51">
        <v>8.8782030063399006E-2</v>
      </c>
      <c r="AI51">
        <v>0.10976901557098399</v>
      </c>
      <c r="AJ51">
        <v>-0.25809727075077898</v>
      </c>
      <c r="AK51">
        <v>5.6250777354339997E-2</v>
      </c>
      <c r="AL51">
        <v>30</v>
      </c>
      <c r="AM51">
        <v>-7.8747490894200004E-4</v>
      </c>
      <c r="AN51">
        <v>1.5188612253159E-2</v>
      </c>
      <c r="AO51">
        <v>0.51645311080257394</v>
      </c>
      <c r="AP51">
        <v>0.24356466480973701</v>
      </c>
      <c r="AQ51">
        <v>0.235067238004946</v>
      </c>
      <c r="AR51">
        <v>30</v>
      </c>
      <c r="AS51">
        <v>8.9470817577229998E-3</v>
      </c>
      <c r="AT51">
        <v>0.112274286903718</v>
      </c>
      <c r="AU51">
        <v>7.0292611835219995E-2</v>
      </c>
      <c r="AV51">
        <v>-0.183521291654128</v>
      </c>
      <c r="AW51">
        <v>0.239895336938104</v>
      </c>
      <c r="AX51">
        <v>30</v>
      </c>
      <c r="AY51">
        <v>1.1099637292926E-2</v>
      </c>
      <c r="AZ51">
        <v>0.16591118482771</v>
      </c>
      <c r="BA51">
        <v>2.5477759856416E-2</v>
      </c>
      <c r="BB51">
        <v>-13.8391780054984</v>
      </c>
      <c r="BC51">
        <v>6.5581249990165604</v>
      </c>
      <c r="BD51">
        <v>30</v>
      </c>
      <c r="BE51">
        <v>0.24849809697373801</v>
      </c>
      <c r="BF51">
        <v>0.111272656553489</v>
      </c>
      <c r="BG51">
        <v>7.1635271852217006E-2</v>
      </c>
      <c r="BH51">
        <v>-16.6612496223402</v>
      </c>
      <c r="BI51">
        <v>6.5497764681452502</v>
      </c>
      <c r="BJ51">
        <v>30</v>
      </c>
      <c r="BK51">
        <v>0.25011402212867001</v>
      </c>
      <c r="BL51">
        <v>0.11301206896954601</v>
      </c>
      <c r="BM51">
        <v>6.9319932834710996E-2</v>
      </c>
      <c r="BN51">
        <v>1.1841186746437001E-2</v>
      </c>
      <c r="BO51" s="539">
        <v>8.3518794367167503E-8</v>
      </c>
      <c r="BP51">
        <v>1.1814051992122E-2</v>
      </c>
      <c r="BQ51" s="539">
        <v>9.3845392177639495E-8</v>
      </c>
      <c r="BR51">
        <v>1.1876301998302001E-2</v>
      </c>
      <c r="BS51">
        <v>4.2449378086380002E-3</v>
      </c>
      <c r="BT51" s="539">
        <v>1.1791676969395599E-7</v>
      </c>
      <c r="BU51">
        <v>4.2440314099540001E-3</v>
      </c>
      <c r="BV51" s="539">
        <v>1.5333842109540999E-7</v>
      </c>
      <c r="BW51">
        <v>4.155577666362E-3</v>
      </c>
      <c r="BX51" s="539">
        <v>4.8287668132145401E-5</v>
      </c>
      <c r="BY51" s="539">
        <v>3.33947116476708E-9</v>
      </c>
      <c r="BZ51" s="539">
        <v>4.8175806616264103E-5</v>
      </c>
      <c r="CA51" s="539">
        <v>3.3098610104628201E-9</v>
      </c>
      <c r="CB51" s="539">
        <v>4.7613418740751898E-5</v>
      </c>
      <c r="CC51" s="539">
        <v>4.64454728843699E-6</v>
      </c>
      <c r="CD51" s="539">
        <v>5.63721889415411E-9</v>
      </c>
      <c r="CE51" s="539">
        <v>4.6434159661464596E-6</v>
      </c>
      <c r="CF51" s="539">
        <v>5.21621631740452E-9</v>
      </c>
      <c r="CG51" s="539">
        <v>4.3160766891005798E-6</v>
      </c>
      <c r="CH51" s="539">
        <v>7.9942527070599503E-8</v>
      </c>
      <c r="CI51" s="539">
        <v>1.9869986525619498E-9</v>
      </c>
      <c r="CJ51" s="539">
        <v>8.1061803693548898E-8</v>
      </c>
      <c r="CK51" s="539">
        <v>1.82702850407758E-9</v>
      </c>
      <c r="CL51" s="539">
        <v>4.68930607027408E-8</v>
      </c>
      <c r="CM51">
        <v>1696653677</v>
      </c>
      <c r="CN51" t="s">
        <v>422</v>
      </c>
      <c r="CO51" t="s">
        <v>416</v>
      </c>
      <c r="CP51" t="s">
        <v>661</v>
      </c>
      <c r="CQ51">
        <v>2934</v>
      </c>
      <c r="CR51">
        <v>48.461759999999998</v>
      </c>
      <c r="CS51">
        <v>1.6517300613496998E-2</v>
      </c>
      <c r="CT51">
        <v>4.0135020000000004E-3</v>
      </c>
      <c r="CU51">
        <v>2</v>
      </c>
      <c r="CV51" s="539">
        <v>2.6971500000000001E-8</v>
      </c>
      <c r="CW51" s="539">
        <v>1.053784E-7</v>
      </c>
      <c r="CX51">
        <v>3</v>
      </c>
      <c r="CY51">
        <v>30</v>
      </c>
      <c r="CZ51" s="539">
        <v>2.6483140000000002E-7</v>
      </c>
      <c r="DA51" s="539">
        <v>9.1734390000000005E-8</v>
      </c>
      <c r="DB51">
        <v>-1.175356E-2</v>
      </c>
      <c r="DC51" s="539">
        <v>8.7823185500000003E-8</v>
      </c>
      <c r="DD51" s="539">
        <v>7.6696417399999998E-8</v>
      </c>
      <c r="DE51" s="539">
        <v>6.6771587999999998E-8</v>
      </c>
      <c r="DF51" s="539">
        <v>4.2406998499999998E-12</v>
      </c>
      <c r="DG51" s="539">
        <v>3.7034790333333302E-12</v>
      </c>
      <c r="DH51" s="539">
        <v>3.2245440499999998E-12</v>
      </c>
      <c r="DI51">
        <v>-0.71619714090062003</v>
      </c>
      <c r="DJ51">
        <v>-0.35004572451174898</v>
      </c>
      <c r="DK51">
        <v>-8.5666023436043001E-2</v>
      </c>
      <c r="DL51" s="539">
        <v>-8.0306469999999903E-10</v>
      </c>
      <c r="DM51" s="539">
        <v>-8.0400344999999998E-10</v>
      </c>
      <c r="DN51" s="422"/>
      <c r="DO51" s="422"/>
      <c r="DP51">
        <v>-8.1243550701474998</v>
      </c>
      <c r="DQ51">
        <v>-6.5751968524589</v>
      </c>
      <c r="DR51">
        <v>0.64133333931096903</v>
      </c>
      <c r="DS51">
        <v>0.22628639253118699</v>
      </c>
      <c r="DT51" s="487">
        <f t="shared" si="1"/>
        <v>10.103520993829022</v>
      </c>
    </row>
    <row r="52" spans="1:126" customFormat="1" x14ac:dyDescent="0.2">
      <c r="Q52" s="539"/>
      <c r="AC52" s="539"/>
      <c r="BO52" s="539"/>
      <c r="BQ52" s="539"/>
      <c r="BT52" s="539"/>
      <c r="BV52" s="539"/>
      <c r="BX52" s="539"/>
      <c r="BY52" s="539"/>
      <c r="BZ52" s="539"/>
      <c r="CA52" s="539"/>
      <c r="CB52" s="539"/>
      <c r="CC52" s="539"/>
      <c r="CD52" s="539"/>
      <c r="CE52" s="539"/>
      <c r="CF52" s="539"/>
      <c r="CG52" s="539"/>
      <c r="CH52" s="539"/>
      <c r="CI52" s="539"/>
      <c r="CJ52" s="539"/>
      <c r="CK52" s="539"/>
      <c r="CL52" s="539"/>
      <c r="CV52" s="539"/>
      <c r="CW52" s="539"/>
      <c r="CZ52" s="539"/>
      <c r="DA52" s="539"/>
      <c r="DC52" s="539"/>
      <c r="DD52" s="539"/>
      <c r="DE52" s="539"/>
      <c r="DF52" s="539"/>
      <c r="DG52" s="539"/>
      <c r="DH52" s="539"/>
      <c r="DL52" s="539"/>
      <c r="DM52" s="539"/>
      <c r="DN52" s="422"/>
      <c r="DO52" s="422"/>
    </row>
    <row r="53" spans="1:126" x14ac:dyDescent="0.2">
      <c r="R53" s="423"/>
      <c r="AD53" s="423"/>
      <c r="BP53" s="423"/>
      <c r="BR53" s="423"/>
      <c r="BU53" s="423"/>
      <c r="BW53" s="423"/>
      <c r="BY53" s="423"/>
      <c r="BZ53" s="423"/>
      <c r="CA53" s="423"/>
      <c r="CB53" s="423"/>
      <c r="CC53" s="423"/>
      <c r="CD53" s="423"/>
      <c r="CE53" s="423"/>
      <c r="CF53" s="423"/>
      <c r="CG53" s="423"/>
      <c r="CH53" s="423"/>
      <c r="CI53" s="423"/>
      <c r="CJ53" s="423"/>
      <c r="CK53" s="423"/>
      <c r="CL53" s="423"/>
      <c r="CM53" s="423"/>
      <c r="CN53" s="424"/>
      <c r="CW53" s="423"/>
      <c r="CX53" s="423"/>
      <c r="DA53" s="423"/>
      <c r="DB53" s="423"/>
      <c r="DD53" s="423"/>
      <c r="DE53" s="423"/>
      <c r="DF53" s="423"/>
      <c r="DG53" s="423"/>
      <c r="DH53" s="423"/>
      <c r="DI53" s="423"/>
      <c r="DM53" s="423"/>
      <c r="DN53" s="423"/>
      <c r="DO53" s="425" t="s">
        <v>437</v>
      </c>
      <c r="DP53" s="425">
        <f>AVERAGE(DP49:DP51)</f>
        <v>-8.104086094944309</v>
      </c>
      <c r="DQ53" s="425">
        <f>AVERAGE(DQ49:DQ51)</f>
        <v>-6.5821954375700464</v>
      </c>
      <c r="DR53" s="425">
        <f>AVERAGE(DR49:DR51)</f>
        <v>0.62790242518971795</v>
      </c>
      <c r="DS53" s="425">
        <f>AVERAGE(DS49:DS51)</f>
        <v>0.28542692171843165</v>
      </c>
      <c r="DT53" s="440">
        <f>AVERAGE(DT49:DT51)</f>
        <v>14.14053938447436</v>
      </c>
      <c r="DV53" s="554" t="s">
        <v>666</v>
      </c>
    </row>
    <row r="54" spans="1:126" x14ac:dyDescent="0.2">
      <c r="R54" s="423"/>
      <c r="AD54" s="423"/>
      <c r="BP54" s="423"/>
      <c r="BR54" s="423"/>
      <c r="BU54" s="423"/>
      <c r="BW54" s="423"/>
      <c r="BY54" s="423"/>
      <c r="BZ54" s="423"/>
      <c r="CA54" s="423"/>
      <c r="CB54" s="423"/>
      <c r="CC54" s="423"/>
      <c r="CD54" s="423"/>
      <c r="CE54" s="423"/>
      <c r="CF54" s="423"/>
      <c r="CG54" s="423"/>
      <c r="CH54" s="423"/>
      <c r="CI54" s="423"/>
      <c r="CJ54" s="423"/>
      <c r="CK54" s="423"/>
      <c r="CL54" s="423"/>
      <c r="CM54" s="423"/>
      <c r="CN54" s="424"/>
      <c r="CW54" s="423"/>
      <c r="CX54" s="423"/>
      <c r="DA54" s="423"/>
      <c r="DB54" s="423"/>
      <c r="DD54" s="423"/>
      <c r="DE54" s="423"/>
      <c r="DF54" s="423"/>
      <c r="DG54" s="423"/>
      <c r="DH54" s="423"/>
      <c r="DI54" s="423"/>
      <c r="DM54" s="423"/>
      <c r="DN54" s="423"/>
      <c r="DO54" s="425" t="s">
        <v>394</v>
      </c>
      <c r="DP54" s="425">
        <f>STDEV(DP49:DP51)</f>
        <v>5.5644455767430767E-2</v>
      </c>
      <c r="DQ54" s="425">
        <f>STDEV(DQ49:DQ51)</f>
        <v>4.8183319285573262E-2</v>
      </c>
      <c r="DR54" s="425">
        <f>STDEV(DR49:DR51)</f>
        <v>1.2678794785643273E-2</v>
      </c>
      <c r="DS54" s="425">
        <f>STDEV(DS49:DS51)</f>
        <v>0.11372943138612748</v>
      </c>
      <c r="DT54" s="425">
        <f>STDEV(DT49:DT51)</f>
        <v>3.8293740600172055</v>
      </c>
    </row>
    <row r="55" spans="1:126" x14ac:dyDescent="0.2">
      <c r="R55" s="423"/>
      <c r="AD55" s="423"/>
      <c r="BP55" s="423"/>
      <c r="BR55" s="423"/>
      <c r="BU55" s="423"/>
      <c r="BW55" s="423"/>
      <c r="BY55" s="423"/>
      <c r="BZ55" s="423"/>
      <c r="CA55" s="423"/>
      <c r="CB55" s="423"/>
      <c r="CC55" s="423"/>
      <c r="CD55" s="423"/>
      <c r="CE55" s="423"/>
      <c r="CF55" s="423"/>
      <c r="CG55" s="423"/>
      <c r="CH55" s="423"/>
      <c r="CI55" s="423"/>
      <c r="CJ55" s="423"/>
      <c r="CK55" s="423"/>
      <c r="CL55" s="423"/>
      <c r="CM55" s="423"/>
      <c r="CN55" s="424"/>
      <c r="CW55" s="423"/>
      <c r="CX55" s="423"/>
      <c r="DA55" s="423"/>
      <c r="DB55" s="423"/>
      <c r="DD55" s="423"/>
      <c r="DE55" s="423"/>
      <c r="DF55" s="423"/>
      <c r="DG55" s="423"/>
      <c r="DH55" s="423"/>
      <c r="DI55" s="423"/>
      <c r="DM55" s="423"/>
      <c r="DN55" s="423"/>
      <c r="DO55" s="425" t="s">
        <v>436</v>
      </c>
      <c r="DP55" s="425">
        <f>DP54/SQRT(3)</f>
        <v>3.2126341516236376E-2</v>
      </c>
      <c r="DQ55" s="425">
        <f>DQ54/SQRT(3)</f>
        <v>2.781865235997541E-2</v>
      </c>
      <c r="DR55" s="425">
        <f>DR54/SQRT(3)</f>
        <v>7.3201055824911676E-3</v>
      </c>
      <c r="DS55" s="425">
        <f>DS54/SQRT(3)</f>
        <v>6.5661717825563778E-2</v>
      </c>
      <c r="DT55" s="425">
        <f>DT54/SQRT(3)</f>
        <v>2.2108901443787037</v>
      </c>
    </row>
    <row r="56" spans="1:126" x14ac:dyDescent="0.2">
      <c r="R56" s="423"/>
      <c r="AD56" s="423"/>
      <c r="BP56" s="423"/>
      <c r="BR56" s="423"/>
      <c r="BU56" s="423"/>
      <c r="BW56" s="423"/>
      <c r="BY56" s="423"/>
      <c r="BZ56" s="423"/>
      <c r="CA56" s="423"/>
      <c r="CB56" s="423"/>
      <c r="CC56" s="423"/>
      <c r="CD56" s="423"/>
      <c r="CE56" s="423"/>
      <c r="CF56" s="423"/>
      <c r="CG56" s="423"/>
      <c r="CH56" s="423"/>
      <c r="CI56" s="423"/>
      <c r="CJ56" s="423"/>
      <c r="CK56" s="423"/>
      <c r="CL56" s="423"/>
      <c r="CM56" s="423"/>
      <c r="CN56" s="424"/>
      <c r="CW56" s="423"/>
      <c r="CX56" s="423"/>
      <c r="DA56" s="423"/>
      <c r="DB56" s="423"/>
      <c r="DD56" s="423"/>
      <c r="DE56" s="423"/>
      <c r="DF56" s="423"/>
      <c r="DG56" s="423"/>
      <c r="DH56" s="423"/>
      <c r="DI56" s="423"/>
      <c r="DM56" s="423"/>
      <c r="DN56" s="423"/>
      <c r="DT56" s="427"/>
    </row>
    <row r="57" spans="1:126" s="482" customFormat="1" ht="17" x14ac:dyDescent="0.2">
      <c r="A57" s="482">
        <v>2000</v>
      </c>
      <c r="B57" s="482" t="s">
        <v>472</v>
      </c>
      <c r="C57" s="482">
        <v>5020</v>
      </c>
      <c r="D57" s="482" t="s">
        <v>430</v>
      </c>
      <c r="E57" s="482">
        <v>1</v>
      </c>
      <c r="F57" s="482" t="s">
        <v>418</v>
      </c>
      <c r="G57" s="482">
        <v>-7.9728019049999999</v>
      </c>
      <c r="H57" s="482">
        <v>4.81775E-3</v>
      </c>
      <c r="I57" s="482">
        <v>30</v>
      </c>
      <c r="J57" s="484">
        <v>4.49E-5</v>
      </c>
      <c r="K57" s="482">
        <v>6.7336660000000001E-3</v>
      </c>
      <c r="L57" s="482">
        <v>0.66640622199999999</v>
      </c>
      <c r="M57" s="482">
        <v>-7.0807812339999998</v>
      </c>
      <c r="N57" s="482">
        <v>5.2741669999999997E-3</v>
      </c>
      <c r="O57" s="482">
        <v>30</v>
      </c>
      <c r="P57" s="484">
        <v>2.0000000000000002E-5</v>
      </c>
      <c r="Q57" s="482">
        <v>1.114739E-3</v>
      </c>
      <c r="R57" s="482">
        <v>0.86096176400000002</v>
      </c>
      <c r="S57" s="482">
        <v>2.1126558110000002</v>
      </c>
      <c r="T57" s="482">
        <v>4.5913059999999999E-3</v>
      </c>
      <c r="U57" s="482">
        <v>30</v>
      </c>
      <c r="V57" s="484">
        <v>4.3099999999999997E-5</v>
      </c>
      <c r="W57" s="482">
        <v>6.8214490000000003E-3</v>
      </c>
      <c r="X57" s="482">
        <v>0.66436406299999995</v>
      </c>
      <c r="Y57" s="482">
        <v>0.32597690699999998</v>
      </c>
      <c r="Z57" s="482">
        <v>5.3105909999999999E-3</v>
      </c>
      <c r="AA57" s="482">
        <v>30</v>
      </c>
      <c r="AB57" s="484">
        <v>2.02E-5</v>
      </c>
      <c r="AC57" s="482">
        <v>1.1242660000000001E-3</v>
      </c>
      <c r="AD57" s="482">
        <v>0.86037460899999996</v>
      </c>
      <c r="AE57" s="482">
        <v>2.20578575</v>
      </c>
      <c r="AF57" s="482">
        <v>5.2292810000000002E-2</v>
      </c>
      <c r="AG57" s="482">
        <v>30</v>
      </c>
      <c r="AH57" s="482">
        <v>2.1038799999999999E-4</v>
      </c>
      <c r="AI57" s="482">
        <v>1.254465E-3</v>
      </c>
      <c r="AJ57" s="482">
        <v>0.85259405300000002</v>
      </c>
      <c r="AK57" s="482">
        <v>-0.29483252900000001</v>
      </c>
      <c r="AL57" s="482">
        <v>5.3404726999999999E-2</v>
      </c>
      <c r="AM57" s="482">
        <v>30</v>
      </c>
      <c r="AN57" s="482">
        <v>1.4564999999999999E-4</v>
      </c>
      <c r="AO57" s="482">
        <v>5.7645099999999996E-4</v>
      </c>
      <c r="AP57" s="482">
        <v>0.89978342899999997</v>
      </c>
      <c r="AQ57" s="482">
        <v>0.49854704500000002</v>
      </c>
      <c r="AR57" s="482">
        <v>0.192182357</v>
      </c>
      <c r="AS57" s="482">
        <v>30</v>
      </c>
      <c r="AT57" s="482">
        <v>1.0324469999999999E-3</v>
      </c>
      <c r="AU57" s="482">
        <v>2.2367139999999999E-3</v>
      </c>
      <c r="AV57" s="482">
        <v>0.804001988</v>
      </c>
      <c r="AW57" s="482">
        <v>-0.15339372200000001</v>
      </c>
      <c r="AX57" s="482">
        <v>0.191549567</v>
      </c>
      <c r="AY57" s="482">
        <v>30</v>
      </c>
      <c r="AZ57" s="482">
        <v>9.9135E-4</v>
      </c>
      <c r="BA57" s="482">
        <v>2.0758389999999999E-3</v>
      </c>
      <c r="BB57" s="482">
        <v>0.81105120799999997</v>
      </c>
      <c r="BC57" s="482">
        <v>-12.544827720000001</v>
      </c>
      <c r="BD57" s="482">
        <v>5.5900487160000001</v>
      </c>
      <c r="BE57" s="482">
        <v>30</v>
      </c>
      <c r="BF57" s="482">
        <v>0.207293908</v>
      </c>
      <c r="BG57" s="482">
        <v>0.10657211699999999</v>
      </c>
      <c r="BH57" s="482">
        <v>7.8291998000000002E-2</v>
      </c>
      <c r="BI57" s="482">
        <v>-15.39515209</v>
      </c>
      <c r="BJ57" s="482">
        <v>5.5750056270000004</v>
      </c>
      <c r="BK57" s="482">
        <v>30</v>
      </c>
      <c r="BL57" s="482">
        <v>0.2066122</v>
      </c>
      <c r="BM57" s="482">
        <v>0.106444446</v>
      </c>
      <c r="BN57" s="482">
        <v>7.8481315999999995E-2</v>
      </c>
      <c r="BO57" s="482">
        <v>1.1838338E-2</v>
      </c>
      <c r="BP57" s="484">
        <v>2.3300000000000001E-7</v>
      </c>
      <c r="BQ57" s="482">
        <v>1.181338E-2</v>
      </c>
      <c r="BR57" s="484">
        <v>2.3099999999999999E-7</v>
      </c>
      <c r="BS57" s="482">
        <v>1.187412E-2</v>
      </c>
      <c r="BT57" s="482">
        <v>4.2435720000000001E-3</v>
      </c>
      <c r="BU57" s="484">
        <v>3.9300000000000001E-8</v>
      </c>
      <c r="BV57" s="482">
        <v>4.2421890000000004E-3</v>
      </c>
      <c r="BW57" s="484">
        <v>3.3799999999999998E-8</v>
      </c>
      <c r="BX57" s="482">
        <v>4.1560449999999997E-3</v>
      </c>
      <c r="BY57" s="484">
        <v>4.8099999999999997E-5</v>
      </c>
      <c r="BZ57" s="484">
        <v>2.0299999999999998E-9</v>
      </c>
      <c r="CA57" s="484">
        <v>4.8000000000000001E-5</v>
      </c>
      <c r="CB57" s="484">
        <v>1.5799999999999999E-9</v>
      </c>
      <c r="CC57" s="484">
        <v>4.7599999999999998E-5</v>
      </c>
      <c r="CD57" s="484">
        <v>4.6299999999999997E-6</v>
      </c>
      <c r="CE57" s="484">
        <v>5.8200000000000002E-9</v>
      </c>
      <c r="CF57" s="484">
        <v>4.6299999999999997E-6</v>
      </c>
      <c r="CG57" s="484">
        <v>5.7299999999999999E-9</v>
      </c>
      <c r="CH57" s="484">
        <v>4.3200000000000001E-6</v>
      </c>
      <c r="CI57" s="484">
        <v>8.0999999999999997E-8</v>
      </c>
      <c r="CJ57" s="484">
        <v>2.1499999999999998E-9</v>
      </c>
      <c r="CK57" s="484">
        <v>8.2100000000000001E-8</v>
      </c>
      <c r="CL57" s="484">
        <v>2.0000000000000001E-9</v>
      </c>
      <c r="CM57" s="484">
        <v>4.6999999999999997E-8</v>
      </c>
      <c r="CN57" s="485">
        <v>45203.962500000001</v>
      </c>
      <c r="CO57" s="482">
        <v>1696485962</v>
      </c>
      <c r="CP57" s="482" t="s">
        <v>420</v>
      </c>
      <c r="CQ57" s="482" t="s">
        <v>416</v>
      </c>
      <c r="CR57" s="482" t="s">
        <v>415</v>
      </c>
      <c r="CS57" s="482">
        <v>2657</v>
      </c>
      <c r="CT57" s="482">
        <v>51.025230000000001</v>
      </c>
      <c r="CU57" s="482">
        <v>2.3400000000000001E-3</v>
      </c>
      <c r="CV57" s="482">
        <v>2</v>
      </c>
      <c r="CW57" s="484">
        <v>2.59E-8</v>
      </c>
      <c r="CX57" s="484">
        <v>1.01E-7</v>
      </c>
      <c r="CY57" s="482">
        <v>3</v>
      </c>
      <c r="CZ57" s="482">
        <v>30</v>
      </c>
      <c r="DA57" s="484">
        <v>2.65E-7</v>
      </c>
      <c r="DB57" s="484">
        <v>8.65E-8</v>
      </c>
      <c r="DC57" s="482">
        <v>0.11577759999999999</v>
      </c>
      <c r="DD57" s="484">
        <v>8.28E-8</v>
      </c>
      <c r="DE57" s="484">
        <v>7.1999999999999996E-8</v>
      </c>
      <c r="DF57" s="484">
        <v>6.2499999999999997E-8</v>
      </c>
      <c r="DG57" s="484">
        <v>3.9799999999999996E-12</v>
      </c>
      <c r="DH57" s="484">
        <v>3.4600000000000002E-12</v>
      </c>
      <c r="DI57" s="484">
        <v>3.0099999999999999E-12</v>
      </c>
      <c r="DJ57" s="482">
        <v>-0.94850897000000001</v>
      </c>
      <c r="DK57" s="482">
        <v>-0.51840422399999997</v>
      </c>
      <c r="DL57" s="482">
        <v>-0.135585965</v>
      </c>
      <c r="DM57" s="484">
        <v>-7.8599999999999997E-10</v>
      </c>
      <c r="DN57" s="484">
        <v>-7.6700000000000004E-10</v>
      </c>
      <c r="DO57" s="482">
        <v>1.9204076E-2</v>
      </c>
      <c r="DP57" s="482">
        <v>-8.3276080130000008</v>
      </c>
      <c r="DQ57" s="482">
        <v>-6.4590398010000003</v>
      </c>
      <c r="DR57" s="482">
        <v>0.59612436899999999</v>
      </c>
      <c r="DS57" s="482">
        <v>0.28887974900000002</v>
      </c>
      <c r="DT57" s="483">
        <f>SQRT((0.0391*10^6)/(DR57-0.154))-273.15</f>
        <v>24.233009514359594</v>
      </c>
      <c r="DV57" s="445" t="s">
        <v>471</v>
      </c>
    </row>
    <row r="58" spans="1:126" s="482" customFormat="1" x14ac:dyDescent="0.2">
      <c r="A58" s="482">
        <v>2020</v>
      </c>
      <c r="B58" s="482" t="s">
        <v>470</v>
      </c>
      <c r="C58" s="482">
        <v>5020</v>
      </c>
      <c r="D58" s="482" t="s">
        <v>430</v>
      </c>
      <c r="E58" s="482">
        <v>1</v>
      </c>
      <c r="F58" s="482" t="s">
        <v>418</v>
      </c>
      <c r="G58" s="482">
        <v>-8.0221219139999995</v>
      </c>
      <c r="H58" s="482">
        <v>4.1729949999999997E-3</v>
      </c>
      <c r="I58" s="482">
        <v>30</v>
      </c>
      <c r="J58" s="482">
        <v>1.8628699999999999E-4</v>
      </c>
      <c r="K58" s="482">
        <v>0.15444395799999999</v>
      </c>
      <c r="L58" s="482">
        <v>3.1686915000000003E-2</v>
      </c>
      <c r="M58" s="482">
        <v>-7.2127059180000002</v>
      </c>
      <c r="N58" s="482">
        <v>9.2317519999999993E-3</v>
      </c>
      <c r="O58" s="482">
        <v>30</v>
      </c>
      <c r="P58" s="484">
        <v>8.1899999999999999E-5</v>
      </c>
      <c r="Q58" s="482">
        <v>6.1041079999999996E-3</v>
      </c>
      <c r="R58" s="482">
        <v>0.68153166399999998</v>
      </c>
      <c r="S58" s="482">
        <v>2.0614833319999999</v>
      </c>
      <c r="T58" s="482">
        <v>4.1398609999999999E-3</v>
      </c>
      <c r="U58" s="482">
        <v>30</v>
      </c>
      <c r="V58" s="482">
        <v>1.78648E-4</v>
      </c>
      <c r="W58" s="482">
        <v>0.144319951</v>
      </c>
      <c r="X58" s="482">
        <v>3.8386027000000003E-2</v>
      </c>
      <c r="Y58" s="482">
        <v>0.193095025</v>
      </c>
      <c r="Z58" s="482">
        <v>9.2967290000000001E-3</v>
      </c>
      <c r="AA58" s="482">
        <v>30</v>
      </c>
      <c r="AB58" s="484">
        <v>8.2899999999999996E-5</v>
      </c>
      <c r="AC58" s="482">
        <v>6.1553889999999998E-3</v>
      </c>
      <c r="AD58" s="482">
        <v>0.68026653999999998</v>
      </c>
      <c r="AE58" s="482">
        <v>2.0289808549999999</v>
      </c>
      <c r="AF58" s="482">
        <v>5.6563686000000002E-2</v>
      </c>
      <c r="AG58" s="482">
        <v>30</v>
      </c>
      <c r="AH58" s="482">
        <v>-2.51067E-3</v>
      </c>
      <c r="AI58" s="482">
        <v>0.152688254</v>
      </c>
      <c r="AJ58" s="482">
        <v>3.2760026999999997E-2</v>
      </c>
      <c r="AK58" s="482">
        <v>-0.28797655599999999</v>
      </c>
      <c r="AL58" s="482">
        <v>5.7058426000000002E-2</v>
      </c>
      <c r="AM58" s="482">
        <v>30</v>
      </c>
      <c r="AN58" s="482">
        <v>-2.770195E-3</v>
      </c>
      <c r="AO58" s="482">
        <v>0.18267650899999999</v>
      </c>
      <c r="AP58" s="482">
        <v>1.8481553000000001E-2</v>
      </c>
      <c r="AQ58" s="482">
        <v>0.28575338099999997</v>
      </c>
      <c r="AR58" s="482">
        <v>0.23692379</v>
      </c>
      <c r="AS58" s="482">
        <v>30</v>
      </c>
      <c r="AT58" s="482">
        <v>3.817048E-3</v>
      </c>
      <c r="AU58" s="482">
        <v>2.0115906999999999E-2</v>
      </c>
      <c r="AV58" s="482">
        <v>0.45468901299999998</v>
      </c>
      <c r="AW58" s="482">
        <v>-0.100416222</v>
      </c>
      <c r="AX58" s="482">
        <v>0.23660608499999999</v>
      </c>
      <c r="AY58" s="482">
        <v>30</v>
      </c>
      <c r="AZ58" s="482">
        <v>3.6498569999999998E-3</v>
      </c>
      <c r="BA58" s="482">
        <v>1.8441725999999999E-2</v>
      </c>
      <c r="BB58" s="482">
        <v>0.47428251500000002</v>
      </c>
      <c r="BC58" s="482">
        <v>-15.856779080000001</v>
      </c>
      <c r="BD58" s="482">
        <v>7.1127242180000003</v>
      </c>
      <c r="BE58" s="482">
        <v>30</v>
      </c>
      <c r="BF58" s="482">
        <v>-0.14242370200000001</v>
      </c>
      <c r="BG58" s="482">
        <v>3.1073795000000001E-2</v>
      </c>
      <c r="BH58" s="482">
        <v>0.35143397300000001</v>
      </c>
      <c r="BI58" s="482">
        <v>-18.387958480000002</v>
      </c>
      <c r="BJ58" s="482">
        <v>7.090730207</v>
      </c>
      <c r="BK58" s="482">
        <v>30</v>
      </c>
      <c r="BL58" s="482">
        <v>-0.14239992400000001</v>
      </c>
      <c r="BM58" s="482">
        <v>3.1256424999999997E-2</v>
      </c>
      <c r="BN58" s="482">
        <v>0.34999981800000002</v>
      </c>
      <c r="BO58" s="482">
        <v>1.1837385000000001E-2</v>
      </c>
      <c r="BP58" s="484">
        <v>2.7700000000000001E-7</v>
      </c>
      <c r="BQ58" s="482">
        <v>1.1813031999999999E-2</v>
      </c>
      <c r="BR58" s="484">
        <v>2.96E-7</v>
      </c>
      <c r="BS58" s="482">
        <v>1.1873513E-2</v>
      </c>
      <c r="BT58" s="482">
        <v>4.2432800000000003E-3</v>
      </c>
      <c r="BU58" s="484">
        <v>6.2400000000000003E-8</v>
      </c>
      <c r="BV58" s="482">
        <v>4.24246E-3</v>
      </c>
      <c r="BW58" s="484">
        <v>5.2800000000000003E-8</v>
      </c>
      <c r="BX58" s="482">
        <v>4.1554929999999997E-3</v>
      </c>
      <c r="BY58" s="484">
        <v>4.8099999999999997E-5</v>
      </c>
      <c r="BZ58" s="484">
        <v>2.2499999999999999E-9</v>
      </c>
      <c r="CA58" s="484">
        <v>4.8000000000000001E-5</v>
      </c>
      <c r="CB58" s="484">
        <v>2.2499999999999999E-9</v>
      </c>
      <c r="CC58" s="484">
        <v>4.7599999999999998E-5</v>
      </c>
      <c r="CD58" s="484">
        <v>4.6299999999999997E-6</v>
      </c>
      <c r="CE58" s="484">
        <v>5.69E-9</v>
      </c>
      <c r="CF58" s="484">
        <v>4.6299999999999997E-6</v>
      </c>
      <c r="CG58" s="484">
        <v>5.52E-9</v>
      </c>
      <c r="CH58" s="484">
        <v>4.3200000000000001E-6</v>
      </c>
      <c r="CI58" s="484">
        <v>8.1499999999999995E-8</v>
      </c>
      <c r="CJ58" s="484">
        <v>1.9599999999999998E-9</v>
      </c>
      <c r="CK58" s="484">
        <v>8.28E-8</v>
      </c>
      <c r="CL58" s="484">
        <v>2.09E-9</v>
      </c>
      <c r="CM58" s="484">
        <v>4.6800000000000002E-8</v>
      </c>
      <c r="CN58" s="485">
        <v>45204.936111111114</v>
      </c>
      <c r="CO58" s="482">
        <v>1696570134</v>
      </c>
      <c r="CP58" s="482" t="s">
        <v>420</v>
      </c>
      <c r="CQ58" s="482" t="s">
        <v>416</v>
      </c>
      <c r="CR58" s="482" t="s">
        <v>415</v>
      </c>
      <c r="CS58" s="482">
        <v>2545</v>
      </c>
      <c r="CT58" s="482">
        <v>47.332610000000003</v>
      </c>
      <c r="CU58" s="482">
        <v>2.8600000000000001E-3</v>
      </c>
      <c r="CV58" s="482">
        <v>2</v>
      </c>
      <c r="CW58" s="484">
        <v>2.7400000000000001E-8</v>
      </c>
      <c r="CX58" s="484">
        <v>1.05E-7</v>
      </c>
      <c r="CY58" s="482">
        <v>3</v>
      </c>
      <c r="CZ58" s="482">
        <v>30</v>
      </c>
      <c r="DA58" s="484">
        <v>2.65E-7</v>
      </c>
      <c r="DB58" s="484">
        <v>8.4400000000000001E-8</v>
      </c>
      <c r="DC58" s="482">
        <v>-0.12868389999999999</v>
      </c>
      <c r="DD58" s="484">
        <v>8.0400000000000005E-8</v>
      </c>
      <c r="DE58" s="484">
        <v>7.0200000000000007E-8</v>
      </c>
      <c r="DF58" s="484">
        <v>6.1099999999999998E-8</v>
      </c>
      <c r="DG58" s="484">
        <v>3.8700000000000003E-12</v>
      </c>
      <c r="DH58" s="484">
        <v>3.3800000000000001E-12</v>
      </c>
      <c r="DI58" s="484">
        <v>2.94E-12</v>
      </c>
      <c r="DJ58" s="482">
        <v>-1.168669551</v>
      </c>
      <c r="DK58" s="482">
        <v>-0.74975534899999996</v>
      </c>
      <c r="DL58" s="482">
        <v>-0.37598552299999999</v>
      </c>
      <c r="DM58" s="484">
        <v>-7.6199999999999995E-10</v>
      </c>
      <c r="DN58" s="484">
        <v>-7.3500000000000005E-10</v>
      </c>
      <c r="DO58" s="482">
        <v>1.8598275000000001E-2</v>
      </c>
      <c r="DP58" s="482">
        <v>-8.3770723599999997</v>
      </c>
      <c r="DQ58" s="482">
        <v>-6.5905561849999996</v>
      </c>
      <c r="DR58" s="482">
        <v>0.60300747700000001</v>
      </c>
      <c r="DS58" s="482">
        <v>0.37327472099999998</v>
      </c>
      <c r="DT58" s="483">
        <f>SQRT((0.0391*10^6)/(DR58-0.154))-273.15</f>
        <v>21.944824123147328</v>
      </c>
    </row>
    <row r="59" spans="1:126" s="482" customFormat="1" x14ac:dyDescent="0.2">
      <c r="A59" s="482">
        <v>2035</v>
      </c>
      <c r="B59" s="482" t="s">
        <v>469</v>
      </c>
      <c r="C59" s="482">
        <v>5020</v>
      </c>
      <c r="D59" s="482" t="s">
        <v>430</v>
      </c>
      <c r="E59" s="482">
        <v>1</v>
      </c>
      <c r="F59" s="482" t="s">
        <v>418</v>
      </c>
      <c r="G59" s="482">
        <v>-8.0010735240000006</v>
      </c>
      <c r="H59" s="482">
        <v>5.2700949999999998E-3</v>
      </c>
      <c r="I59" s="482">
        <v>30</v>
      </c>
      <c r="J59" s="484">
        <v>5.6700000000000003E-5</v>
      </c>
      <c r="K59" s="482">
        <v>8.9728689999999996E-3</v>
      </c>
      <c r="L59" s="482">
        <v>0.61854919399999997</v>
      </c>
      <c r="M59" s="482">
        <v>-7.2458556520000004</v>
      </c>
      <c r="N59" s="482">
        <v>8.2732190000000001E-3</v>
      </c>
      <c r="O59" s="482">
        <v>30</v>
      </c>
      <c r="P59" s="482">
        <v>-5.9800599999999999E-4</v>
      </c>
      <c r="Q59" s="482">
        <v>0.40491506199999999</v>
      </c>
      <c r="R59" s="482">
        <v>1.5690800000000001E-4</v>
      </c>
      <c r="S59" s="482">
        <v>2.0801778440000001</v>
      </c>
      <c r="T59" s="482">
        <v>4.9916759999999996E-3</v>
      </c>
      <c r="U59" s="482">
        <v>30</v>
      </c>
      <c r="V59" s="484">
        <v>3.2499999999999997E-5</v>
      </c>
      <c r="W59" s="482">
        <v>3.2817269999999999E-3</v>
      </c>
      <c r="X59" s="482">
        <v>0.76365492899999998</v>
      </c>
      <c r="Y59" s="482">
        <v>0.15977524700000001</v>
      </c>
      <c r="Z59" s="482">
        <v>8.3271449999999993E-3</v>
      </c>
      <c r="AA59" s="482">
        <v>30</v>
      </c>
      <c r="AB59" s="482">
        <v>-6.0175400000000003E-4</v>
      </c>
      <c r="AC59" s="482">
        <v>0.40471383300000002</v>
      </c>
      <c r="AD59" s="482">
        <v>1.5768600000000001E-4</v>
      </c>
      <c r="AE59" s="482">
        <v>2.0330289370000001</v>
      </c>
      <c r="AF59" s="482">
        <v>6.2286526000000002E-2</v>
      </c>
      <c r="AG59" s="482">
        <v>30</v>
      </c>
      <c r="AH59" s="484">
        <v>-2.55E-5</v>
      </c>
      <c r="AI59" s="484">
        <v>1.2999999999999999E-5</v>
      </c>
      <c r="AJ59" s="482">
        <v>0.98489658000000002</v>
      </c>
      <c r="AK59" s="482">
        <v>-0.270443779</v>
      </c>
      <c r="AL59" s="482">
        <v>6.4124152000000004E-2</v>
      </c>
      <c r="AM59" s="482">
        <v>30</v>
      </c>
      <c r="AN59" s="482">
        <v>5.3233499999999999E-4</v>
      </c>
      <c r="AO59" s="482">
        <v>5.3410799999999998E-3</v>
      </c>
      <c r="AP59" s="482">
        <v>0.70113014799999995</v>
      </c>
      <c r="AQ59" s="482">
        <v>0.30351907099999997</v>
      </c>
      <c r="AR59" s="482">
        <v>0.20102047000000001</v>
      </c>
      <c r="AS59" s="482">
        <v>30</v>
      </c>
      <c r="AT59" s="482">
        <v>-1.518234E-3</v>
      </c>
      <c r="AU59" s="482">
        <v>4.4207780000000002E-3</v>
      </c>
      <c r="AV59" s="482">
        <v>0.72702385800000002</v>
      </c>
      <c r="AW59" s="482">
        <v>-1.6033319000000001E-2</v>
      </c>
      <c r="AX59" s="482">
        <v>0.19755672499999999</v>
      </c>
      <c r="AY59" s="482">
        <v>30</v>
      </c>
      <c r="AZ59" s="482">
        <v>-3.1438000000000001E-4</v>
      </c>
      <c r="BA59" s="482">
        <v>1.9625900000000001E-4</v>
      </c>
      <c r="BB59" s="482">
        <v>0.94142835999999996</v>
      </c>
      <c r="BC59" s="482">
        <v>-9.3571091739999996</v>
      </c>
      <c r="BD59" s="482">
        <v>6.0452262389999998</v>
      </c>
      <c r="BE59" s="482">
        <v>30</v>
      </c>
      <c r="BF59" s="482">
        <v>0.19166295699999999</v>
      </c>
      <c r="BG59" s="482">
        <v>7.7902780000000005E-2</v>
      </c>
      <c r="BH59" s="482">
        <v>0.13526459699999999</v>
      </c>
      <c r="BI59" s="482">
        <v>-11.85994659</v>
      </c>
      <c r="BJ59" s="482">
        <v>6.0317159470000004</v>
      </c>
      <c r="BK59" s="482">
        <v>30</v>
      </c>
      <c r="BL59" s="482">
        <v>0.19231115700000001</v>
      </c>
      <c r="BM59" s="482">
        <v>7.8782345000000004E-2</v>
      </c>
      <c r="BN59" s="482">
        <v>0.13298796900000001</v>
      </c>
      <c r="BO59" s="482">
        <v>1.1838845000000001E-2</v>
      </c>
      <c r="BP59" s="484">
        <v>1.8E-7</v>
      </c>
      <c r="BQ59" s="482">
        <v>1.1814269000000001E-2</v>
      </c>
      <c r="BR59" s="484">
        <v>1.73E-7</v>
      </c>
      <c r="BS59" s="482">
        <v>1.1873735E-2</v>
      </c>
      <c r="BT59" s="482">
        <v>4.2449020000000001E-3</v>
      </c>
      <c r="BU59" s="484">
        <v>8.2100000000000001E-8</v>
      </c>
      <c r="BV59" s="482">
        <v>4.2442239999999996E-3</v>
      </c>
      <c r="BW59" s="484">
        <v>1.06E-7</v>
      </c>
      <c r="BX59" s="482">
        <v>4.155354E-3</v>
      </c>
      <c r="BY59" s="484">
        <v>4.8300000000000002E-5</v>
      </c>
      <c r="BZ59" s="484">
        <v>3.7799999999999998E-9</v>
      </c>
      <c r="CA59" s="484">
        <v>4.8199999999999999E-5</v>
      </c>
      <c r="CB59" s="484">
        <v>2.23E-9</v>
      </c>
      <c r="CC59" s="484">
        <v>4.7599999999999998E-5</v>
      </c>
      <c r="CD59" s="484">
        <v>4.6600000000000003E-6</v>
      </c>
      <c r="CE59" s="484">
        <v>5.9799999999999996E-9</v>
      </c>
      <c r="CF59" s="484">
        <v>4.6500000000000004E-6</v>
      </c>
      <c r="CG59" s="484">
        <v>6.0300000000000001E-9</v>
      </c>
      <c r="CH59" s="484">
        <v>4.3200000000000001E-6</v>
      </c>
      <c r="CI59" s="484">
        <v>8.4299999999999994E-8</v>
      </c>
      <c r="CJ59" s="484">
        <v>2.23E-9</v>
      </c>
      <c r="CK59" s="484">
        <v>8.5100000000000001E-8</v>
      </c>
      <c r="CL59" s="484">
        <v>2.1000000000000002E-9</v>
      </c>
      <c r="CM59" s="484">
        <v>4.7099999999999998E-8</v>
      </c>
      <c r="CN59" s="485">
        <v>45205.95416666667</v>
      </c>
      <c r="CO59" s="482">
        <v>1696658058</v>
      </c>
      <c r="CP59" s="482" t="s">
        <v>422</v>
      </c>
      <c r="CQ59" s="482" t="s">
        <v>416</v>
      </c>
      <c r="CR59" s="482" t="s">
        <v>415</v>
      </c>
      <c r="CS59" s="482">
        <v>2508</v>
      </c>
      <c r="CT59" s="482">
        <v>41.381680000000003</v>
      </c>
      <c r="CU59" s="482">
        <v>3.0000000000000001E-3</v>
      </c>
      <c r="CV59" s="482">
        <v>2</v>
      </c>
      <c r="CW59" s="484">
        <v>2.6700000000000001E-8</v>
      </c>
      <c r="CX59" s="484">
        <v>1.05E-7</v>
      </c>
      <c r="CY59" s="482">
        <v>3</v>
      </c>
      <c r="CZ59" s="482">
        <v>30</v>
      </c>
      <c r="DA59" s="484">
        <v>2.65E-7</v>
      </c>
      <c r="DB59" s="484">
        <v>7.7000000000000001E-8</v>
      </c>
      <c r="DC59" s="482">
        <v>8.3799999999999999E-2</v>
      </c>
      <c r="DD59" s="484">
        <v>7.3900000000000007E-8</v>
      </c>
      <c r="DE59" s="484">
        <v>6.5E-8</v>
      </c>
      <c r="DF59" s="484">
        <v>5.7000000000000001E-8</v>
      </c>
      <c r="DG59" s="484">
        <v>3.5699999999999999E-12</v>
      </c>
      <c r="DH59" s="484">
        <v>3.1399999999999999E-12</v>
      </c>
      <c r="DI59" s="484">
        <v>2.7500000000000002E-12</v>
      </c>
      <c r="DJ59" s="482">
        <v>-1.2990969750000001</v>
      </c>
      <c r="DK59" s="482">
        <v>-0.77288679599999999</v>
      </c>
      <c r="DL59" s="482">
        <v>-0.25790138099999999</v>
      </c>
      <c r="DM59" s="484">
        <v>-6.1099999999999996E-10</v>
      </c>
      <c r="DN59" s="484">
        <v>-5.9000000000000003E-10</v>
      </c>
      <c r="DO59" s="482">
        <v>1.6499871999999999E-2</v>
      </c>
      <c r="DP59" s="482">
        <v>-8.3559623710000004</v>
      </c>
      <c r="DQ59" s="482">
        <v>-6.6236033230000002</v>
      </c>
      <c r="DR59" s="482">
        <v>0.62123347799999995</v>
      </c>
      <c r="DS59" s="482">
        <v>0.51819668699999999</v>
      </c>
      <c r="DT59" s="483">
        <f>SQRT((0.0391*10^6)/(DR59-0.154))-273.15</f>
        <v>16.13199385814687</v>
      </c>
    </row>
    <row r="60" spans="1:126" x14ac:dyDescent="0.2">
      <c r="B60" s="482" t="s">
        <v>647</v>
      </c>
      <c r="J60" s="423"/>
      <c r="V60" s="423"/>
      <c r="AH60" s="423"/>
      <c r="AI60" s="423"/>
      <c r="BP60" s="423"/>
      <c r="BR60" s="423"/>
      <c r="BU60" s="423"/>
      <c r="BW60" s="423"/>
      <c r="BY60" s="423"/>
      <c r="BZ60" s="423"/>
      <c r="CA60" s="423"/>
      <c r="CB60" s="423"/>
      <c r="CC60" s="423"/>
      <c r="CD60" s="423"/>
      <c r="CE60" s="423"/>
      <c r="CF60" s="423"/>
      <c r="CG60" s="423"/>
      <c r="CH60" s="423"/>
      <c r="CI60" s="423"/>
      <c r="CJ60" s="423"/>
      <c r="CK60" s="423"/>
      <c r="CL60" s="423"/>
      <c r="CM60" s="423"/>
      <c r="CN60" s="424"/>
      <c r="CW60" s="423"/>
      <c r="CX60" s="423"/>
      <c r="DA60" s="423"/>
      <c r="DB60" s="423"/>
      <c r="DD60" s="423"/>
      <c r="DE60" s="423"/>
      <c r="DF60" s="423"/>
      <c r="DG60" s="423"/>
      <c r="DH60" s="423"/>
      <c r="DI60" s="423"/>
      <c r="DM60" s="423"/>
      <c r="DN60" s="423"/>
      <c r="DP60">
        <v>-8.3724767966344906</v>
      </c>
      <c r="DQ60">
        <v>-6.5353269845440698</v>
      </c>
      <c r="DR60">
        <v>0.647158393816472</v>
      </c>
      <c r="DS60">
        <v>0.19897565567565201</v>
      </c>
      <c r="DT60" s="483">
        <f>SQRT((0.0391*10^6)/(DR60-0.154))-273.15</f>
        <v>8.4256945076735974</v>
      </c>
    </row>
    <row r="61" spans="1:126" x14ac:dyDescent="0.2">
      <c r="B61" s="482"/>
      <c r="J61" s="423"/>
      <c r="V61" s="423"/>
      <c r="AH61" s="423"/>
      <c r="AI61" s="423"/>
      <c r="BP61" s="423"/>
      <c r="BR61" s="423"/>
      <c r="BU61" s="423"/>
      <c r="BW61" s="423"/>
      <c r="BY61" s="423"/>
      <c r="BZ61" s="423"/>
      <c r="CA61" s="423"/>
      <c r="CB61" s="423"/>
      <c r="CC61" s="423"/>
      <c r="CD61" s="423"/>
      <c r="CE61" s="423"/>
      <c r="CF61" s="423"/>
      <c r="CG61" s="423"/>
      <c r="CH61" s="423"/>
      <c r="CI61" s="423"/>
      <c r="CJ61" s="423"/>
      <c r="CK61" s="423"/>
      <c r="CL61" s="423"/>
      <c r="CM61" s="423"/>
      <c r="CN61" s="424"/>
      <c r="CW61" s="423"/>
      <c r="CX61" s="423"/>
      <c r="DA61" s="423"/>
      <c r="DB61" s="423"/>
      <c r="DD61" s="423"/>
      <c r="DE61" s="423"/>
      <c r="DF61" s="423"/>
      <c r="DG61" s="423"/>
      <c r="DH61" s="423"/>
      <c r="DI61" s="423"/>
      <c r="DM61" s="423"/>
      <c r="DN61" s="423"/>
      <c r="DO61" s="425" t="s">
        <v>437</v>
      </c>
      <c r="DP61" s="425">
        <f>AVERAGE(DP57:DP59)</f>
        <v>-8.3535475813333342</v>
      </c>
      <c r="DQ61" s="425">
        <f>AVERAGE(DQ57:DQ59)</f>
        <v>-6.5577331030000003</v>
      </c>
      <c r="DR61" s="425">
        <f>AVERAGE(DR57:DR59)</f>
        <v>0.60678844133333332</v>
      </c>
      <c r="DS61" s="425">
        <f>AVERAGE(DS57:DS59)</f>
        <v>0.39345038566666668</v>
      </c>
      <c r="DT61" s="440">
        <f>AVERAGE(DT57:DT59)</f>
        <v>20.769942498551263</v>
      </c>
    </row>
    <row r="62" spans="1:126" x14ac:dyDescent="0.2">
      <c r="J62" s="423"/>
      <c r="V62" s="423"/>
      <c r="AH62" s="423"/>
      <c r="AI62" s="423"/>
      <c r="BP62" s="423"/>
      <c r="BR62" s="423"/>
      <c r="BU62" s="423"/>
      <c r="BW62" s="423"/>
      <c r="BY62" s="423"/>
      <c r="BZ62" s="423"/>
      <c r="CA62" s="423"/>
      <c r="CB62" s="423"/>
      <c r="CC62" s="423"/>
      <c r="CD62" s="423"/>
      <c r="CE62" s="423"/>
      <c r="CF62" s="423"/>
      <c r="CG62" s="423"/>
      <c r="CH62" s="423"/>
      <c r="CI62" s="423"/>
      <c r="CJ62" s="423"/>
      <c r="CK62" s="423"/>
      <c r="CL62" s="423"/>
      <c r="CM62" s="423"/>
      <c r="CN62" s="424"/>
      <c r="CW62" s="423"/>
      <c r="CX62" s="423"/>
      <c r="DA62" s="423"/>
      <c r="DB62" s="423"/>
      <c r="DD62" s="423"/>
      <c r="DE62" s="423"/>
      <c r="DF62" s="423"/>
      <c r="DG62" s="423"/>
      <c r="DH62" s="423"/>
      <c r="DI62" s="423"/>
      <c r="DM62" s="541" t="s">
        <v>663</v>
      </c>
      <c r="DN62" s="423"/>
      <c r="DO62" s="425" t="s">
        <v>394</v>
      </c>
      <c r="DP62" s="425">
        <f>STDEV(DP57:DP59)</f>
        <v>2.4820431359763993E-2</v>
      </c>
      <c r="DQ62" s="425">
        <f>STDEV(DQ57:DQ59)</f>
        <v>8.7053456147617336E-2</v>
      </c>
      <c r="DR62" s="425">
        <f>STDEV(DR57:DR59)</f>
        <v>1.2974536876548762E-2</v>
      </c>
      <c r="DS62" s="425">
        <f>STDEV(DS57:DS59)</f>
        <v>0.11598214344018773</v>
      </c>
      <c r="DT62" s="425">
        <f>STDEV(DT57:DT59)</f>
        <v>4.176346943132363</v>
      </c>
    </row>
    <row r="63" spans="1:126" x14ac:dyDescent="0.2">
      <c r="J63" s="423"/>
      <c r="V63" s="423"/>
      <c r="AH63" s="423"/>
      <c r="AI63" s="423"/>
      <c r="BP63" s="423"/>
      <c r="BR63" s="423"/>
      <c r="BU63" s="423"/>
      <c r="BW63" s="423"/>
      <c r="BY63" s="423"/>
      <c r="BZ63" s="423"/>
      <c r="CA63" s="423"/>
      <c r="CB63" s="423"/>
      <c r="CC63" s="423"/>
      <c r="CD63" s="423"/>
      <c r="CE63" s="423"/>
      <c r="CF63" s="423"/>
      <c r="CG63" s="423"/>
      <c r="CH63" s="423"/>
      <c r="CI63" s="423"/>
      <c r="CJ63" s="423"/>
      <c r="CK63" s="423"/>
      <c r="CL63" s="423"/>
      <c r="CM63" s="423"/>
      <c r="CN63" s="424"/>
      <c r="CW63" s="423"/>
      <c r="CX63" s="423"/>
      <c r="DA63" s="423"/>
      <c r="DB63" s="423"/>
      <c r="DD63" s="423"/>
      <c r="DE63" s="423"/>
      <c r="DF63" s="423"/>
      <c r="DG63" s="423"/>
      <c r="DH63" s="423"/>
      <c r="DI63" s="423"/>
      <c r="DM63" s="423"/>
      <c r="DN63" s="423"/>
      <c r="DO63" s="425" t="s">
        <v>436</v>
      </c>
      <c r="DP63" s="425">
        <f>DP62/SQRT(3)</f>
        <v>1.4330082726962371E-2</v>
      </c>
      <c r="DQ63" s="425">
        <f>DQ62/SQRT(3)</f>
        <v>5.0260336340714154E-2</v>
      </c>
      <c r="DR63" s="425">
        <f>DR62/SQRT(3)</f>
        <v>7.4908523582861543E-3</v>
      </c>
      <c r="DS63" s="425">
        <f>DS62/SQRT(3)</f>
        <v>6.6962321736382183E-2</v>
      </c>
      <c r="DT63" s="425">
        <f>DT62/SQRT(3)</f>
        <v>2.4112150318467407</v>
      </c>
    </row>
    <row r="64" spans="1:126" x14ac:dyDescent="0.2">
      <c r="J64" s="423"/>
      <c r="V64" s="423"/>
      <c r="AH64" s="423"/>
      <c r="AI64" s="423"/>
      <c r="BP64" s="423"/>
      <c r="BR64" s="423"/>
      <c r="BU64" s="423"/>
      <c r="BW64" s="423"/>
      <c r="BY64" s="423"/>
      <c r="BZ64" s="423"/>
      <c r="CA64" s="423"/>
      <c r="CB64" s="423"/>
      <c r="CC64" s="423"/>
      <c r="CD64" s="423"/>
      <c r="CE64" s="423"/>
      <c r="CF64" s="423"/>
      <c r="CG64" s="423"/>
      <c r="CH64" s="423"/>
      <c r="CI64" s="423"/>
      <c r="CJ64" s="423"/>
      <c r="CK64" s="423"/>
      <c r="CL64" s="423"/>
      <c r="CM64" s="423"/>
      <c r="CN64" s="424"/>
      <c r="CW64" s="423"/>
      <c r="CX64" s="423"/>
      <c r="DA64" s="423"/>
      <c r="DB64" s="423"/>
      <c r="DD64" s="423"/>
      <c r="DE64" s="423"/>
      <c r="DF64" s="423"/>
      <c r="DG64" s="423"/>
      <c r="DH64" s="423"/>
      <c r="DI64" s="423"/>
      <c r="DM64" s="423"/>
      <c r="DN64" s="423"/>
      <c r="DO64" s="425"/>
      <c r="DP64" s="425"/>
      <c r="DQ64" s="425"/>
      <c r="DR64" s="425"/>
      <c r="DS64" s="425"/>
      <c r="DT64" s="425"/>
    </row>
    <row r="65" spans="1:126" x14ac:dyDescent="0.2">
      <c r="B65" s="482"/>
      <c r="J65" s="423"/>
      <c r="V65" s="423"/>
      <c r="AH65" s="423"/>
      <c r="AI65" s="423"/>
      <c r="BP65" s="423"/>
      <c r="BR65" s="423"/>
      <c r="BU65" s="423"/>
      <c r="BW65" s="423"/>
      <c r="BY65" s="423"/>
      <c r="BZ65" s="423"/>
      <c r="CA65" s="423"/>
      <c r="CB65" s="423"/>
      <c r="CC65" s="423"/>
      <c r="CD65" s="423"/>
      <c r="CE65" s="423"/>
      <c r="CF65" s="423"/>
      <c r="CG65" s="423"/>
      <c r="CH65" s="423"/>
      <c r="CI65" s="423"/>
      <c r="CJ65" s="423"/>
      <c r="CK65" s="423"/>
      <c r="CL65" s="423"/>
      <c r="CM65" s="423"/>
      <c r="CN65" s="424"/>
      <c r="CW65" s="423"/>
      <c r="CX65" s="423"/>
      <c r="DA65" s="423"/>
      <c r="DB65" s="423"/>
      <c r="DD65" s="423"/>
      <c r="DE65" s="423"/>
      <c r="DF65" s="423"/>
      <c r="DG65" s="423"/>
      <c r="DH65" s="423"/>
      <c r="DI65" s="423"/>
      <c r="DM65" s="541" t="s">
        <v>664</v>
      </c>
      <c r="DN65" s="423"/>
      <c r="DO65" s="425" t="s">
        <v>437</v>
      </c>
      <c r="DP65" s="425">
        <f>AVERAGE(DP57:DP60)</f>
        <v>-8.3582798851586233</v>
      </c>
      <c r="DQ65" s="425">
        <f>AVERAGE(DQ57:DQ60)</f>
        <v>-6.5521315733860179</v>
      </c>
      <c r="DR65" s="425">
        <f>AVERAGE(DR57:DR60)</f>
        <v>0.61688092945411799</v>
      </c>
      <c r="DS65" s="425">
        <f>AVERAGE(DS57:DS60)</f>
        <v>0.34483170316891298</v>
      </c>
      <c r="DT65" s="440">
        <f>AVERAGE(DT57:DT60)</f>
        <v>17.683880500831847</v>
      </c>
    </row>
    <row r="66" spans="1:126" x14ac:dyDescent="0.2">
      <c r="J66" s="423"/>
      <c r="V66" s="423"/>
      <c r="AH66" s="423"/>
      <c r="AI66" s="423"/>
      <c r="BP66" s="423"/>
      <c r="BR66" s="423"/>
      <c r="BU66" s="423"/>
      <c r="BW66" s="423"/>
      <c r="BY66" s="423"/>
      <c r="BZ66" s="423"/>
      <c r="CA66" s="423"/>
      <c r="CB66" s="423"/>
      <c r="CC66" s="423"/>
      <c r="CD66" s="423"/>
      <c r="CE66" s="423"/>
      <c r="CF66" s="423"/>
      <c r="CG66" s="423"/>
      <c r="CH66" s="423"/>
      <c r="CI66" s="423"/>
      <c r="CJ66" s="423"/>
      <c r="CK66" s="423"/>
      <c r="CL66" s="423"/>
      <c r="CM66" s="423"/>
      <c r="CN66" s="424"/>
      <c r="CW66" s="423"/>
      <c r="CX66" s="423"/>
      <c r="DA66" s="423"/>
      <c r="DB66" s="423"/>
      <c r="DD66" s="423"/>
      <c r="DE66" s="423"/>
      <c r="DF66" s="423"/>
      <c r="DG66" s="423"/>
      <c r="DH66" s="423"/>
      <c r="DI66" s="423"/>
      <c r="DM66" s="423"/>
      <c r="DN66" s="423"/>
      <c r="DO66" s="425" t="s">
        <v>394</v>
      </c>
      <c r="DP66" s="425">
        <f>STDEV(DP57:DP60)</f>
        <v>2.2366969841768013E-2</v>
      </c>
      <c r="DQ66" s="425">
        <f>STDEV(DQ57:DQ60)</f>
        <v>7.1956315596538978E-2</v>
      </c>
      <c r="DR66" s="425">
        <f>STDEV(DR57:DR60)</f>
        <v>2.2796030443478558E-2</v>
      </c>
      <c r="DS66" s="425">
        <f>STDEV(DS57:DS60)</f>
        <v>0.13573138994323705</v>
      </c>
      <c r="DT66" s="425">
        <f>STDEV(DT57:DT60)</f>
        <v>7.0514559117021438</v>
      </c>
    </row>
    <row r="67" spans="1:126" x14ac:dyDescent="0.2">
      <c r="J67" s="423"/>
      <c r="V67" s="423"/>
      <c r="AH67" s="423"/>
      <c r="AI67" s="423"/>
      <c r="BP67" s="423"/>
      <c r="BR67" s="423"/>
      <c r="BU67" s="423"/>
      <c r="BW67" s="423"/>
      <c r="BY67" s="423"/>
      <c r="BZ67" s="423"/>
      <c r="CA67" s="423"/>
      <c r="CB67" s="423"/>
      <c r="CC67" s="423"/>
      <c r="CD67" s="423"/>
      <c r="CE67" s="423"/>
      <c r="CF67" s="423"/>
      <c r="CG67" s="423"/>
      <c r="CH67" s="423"/>
      <c r="CI67" s="423"/>
      <c r="CJ67" s="423"/>
      <c r="CK67" s="423"/>
      <c r="CL67" s="423"/>
      <c r="CM67" s="423"/>
      <c r="CN67" s="424"/>
      <c r="CW67" s="423"/>
      <c r="CX67" s="423"/>
      <c r="DA67" s="423"/>
      <c r="DB67" s="423"/>
      <c r="DD67" s="423"/>
      <c r="DE67" s="423"/>
      <c r="DF67" s="423"/>
      <c r="DG67" s="423"/>
      <c r="DH67" s="423"/>
      <c r="DI67" s="423"/>
      <c r="DM67" s="423"/>
      <c r="DN67" s="423"/>
      <c r="DO67" s="425" t="s">
        <v>436</v>
      </c>
      <c r="DP67" s="425">
        <f>DP66/SQRT(4)</f>
        <v>1.1183484920884007E-2</v>
      </c>
      <c r="DQ67" s="425">
        <f>DQ66/SQRT(4)</f>
        <v>3.5978157798269489E-2</v>
      </c>
      <c r="DR67" s="425">
        <f>DR66/SQRT(4)</f>
        <v>1.1398015221739279E-2</v>
      </c>
      <c r="DS67" s="425">
        <f>DS66/SQRT(4)</f>
        <v>6.7865694971618526E-2</v>
      </c>
      <c r="DT67" s="425">
        <f>DT66/SQRT(4)</f>
        <v>3.5257279558510719</v>
      </c>
    </row>
    <row r="68" spans="1:126" x14ac:dyDescent="0.2">
      <c r="J68" s="423"/>
      <c r="V68" s="423"/>
      <c r="AH68" s="423"/>
      <c r="AI68" s="423"/>
      <c r="BP68" s="423"/>
      <c r="BR68" s="423"/>
      <c r="BU68" s="423"/>
      <c r="BW68" s="423"/>
      <c r="BY68" s="423"/>
      <c r="BZ68" s="423"/>
      <c r="CA68" s="423"/>
      <c r="CB68" s="423"/>
      <c r="CC68" s="423"/>
      <c r="CD68" s="423"/>
      <c r="CE68" s="423"/>
      <c r="CF68" s="423"/>
      <c r="CG68" s="423"/>
      <c r="CH68" s="423"/>
      <c r="CI68" s="423"/>
      <c r="CJ68" s="423"/>
      <c r="CK68" s="423"/>
      <c r="CL68" s="423"/>
      <c r="CM68" s="423"/>
      <c r="CN68" s="424"/>
      <c r="CW68" s="423"/>
      <c r="CX68" s="423"/>
      <c r="DA68" s="423"/>
      <c r="DB68" s="423"/>
      <c r="DD68" s="423"/>
      <c r="DE68" s="423"/>
      <c r="DF68" s="423"/>
      <c r="DG68" s="423"/>
      <c r="DH68" s="423"/>
      <c r="DI68" s="423"/>
      <c r="DM68" s="423"/>
      <c r="DN68" s="423"/>
      <c r="DT68" s="427"/>
    </row>
    <row r="69" spans="1:126" s="479" customFormat="1" ht="34" x14ac:dyDescent="0.2">
      <c r="A69" s="479">
        <v>1999</v>
      </c>
      <c r="B69" s="479" t="s">
        <v>468</v>
      </c>
      <c r="C69" s="479">
        <v>5130</v>
      </c>
      <c r="D69" s="479" t="s">
        <v>430</v>
      </c>
      <c r="E69" s="479">
        <v>1</v>
      </c>
      <c r="F69" s="479" t="s">
        <v>418</v>
      </c>
      <c r="G69" s="479">
        <v>-7.9440578180000001</v>
      </c>
      <c r="H69" s="479">
        <v>8.0124289999999997E-3</v>
      </c>
      <c r="I69" s="479">
        <v>30</v>
      </c>
      <c r="J69" s="480">
        <v>7.1500000000000003E-5</v>
      </c>
      <c r="K69" s="479">
        <v>6.1741840000000001E-3</v>
      </c>
      <c r="L69" s="479">
        <v>0.67980437999999999</v>
      </c>
      <c r="M69" s="479">
        <v>-6.2174532920000001</v>
      </c>
      <c r="N69" s="479">
        <v>1.1556163E-2</v>
      </c>
      <c r="O69" s="479">
        <v>30</v>
      </c>
      <c r="P69" s="479">
        <v>-7.9913300000000005E-4</v>
      </c>
      <c r="Q69" s="479">
        <v>0.37060618099999998</v>
      </c>
      <c r="R69" s="479">
        <v>3.5725699999999998E-4</v>
      </c>
      <c r="S69" s="479">
        <v>2.1701174829999998</v>
      </c>
      <c r="T69" s="479">
        <v>7.5300569999999997E-3</v>
      </c>
      <c r="U69" s="479">
        <v>30</v>
      </c>
      <c r="V69" s="480">
        <v>3.9400000000000002E-5</v>
      </c>
      <c r="W69" s="479">
        <v>2.1216310000000001E-3</v>
      </c>
      <c r="X69" s="479">
        <v>0.80901619999999996</v>
      </c>
      <c r="Y69" s="479">
        <v>1.1949490149999999</v>
      </c>
      <c r="Z69" s="479">
        <v>1.1629216E-2</v>
      </c>
      <c r="AA69" s="479">
        <v>30</v>
      </c>
      <c r="AB69" s="479">
        <v>-8.0415100000000002E-4</v>
      </c>
      <c r="AC69" s="479">
        <v>0.370574552</v>
      </c>
      <c r="AD69" s="479">
        <v>3.5752199999999998E-4</v>
      </c>
      <c r="AE69" s="479">
        <v>3.1063104680000002</v>
      </c>
      <c r="AF69" s="479">
        <v>9.2376742999999997E-2</v>
      </c>
      <c r="AG69" s="479">
        <v>30</v>
      </c>
      <c r="AH69" s="479">
        <v>3.2735899999999999E-4</v>
      </c>
      <c r="AI69" s="479">
        <v>9.7325199999999997E-4</v>
      </c>
      <c r="AJ69" s="479">
        <v>0.87000524199999996</v>
      </c>
      <c r="AK69" s="479">
        <v>-0.30943707100000001</v>
      </c>
      <c r="AL69" s="479">
        <v>9.5926538000000006E-2</v>
      </c>
      <c r="AM69" s="479">
        <v>30</v>
      </c>
      <c r="AN69" s="479">
        <v>1.0750079999999999E-3</v>
      </c>
      <c r="AO69" s="479">
        <v>9.733027E-3</v>
      </c>
      <c r="AP69" s="479">
        <v>0.60399145799999998</v>
      </c>
      <c r="AQ69" s="479">
        <v>2.446245759</v>
      </c>
      <c r="AR69" s="479">
        <v>0.359192868</v>
      </c>
      <c r="AS69" s="479">
        <v>30</v>
      </c>
      <c r="AT69" s="479">
        <v>2.5155317999999999E-2</v>
      </c>
      <c r="AU69" s="479">
        <v>0.38010704699999998</v>
      </c>
      <c r="AV69" s="479">
        <v>2.8562299999999999E-4</v>
      </c>
      <c r="AW69" s="479">
        <v>5.4812115000000002E-2</v>
      </c>
      <c r="AX69" s="479">
        <v>0.368411037</v>
      </c>
      <c r="AY69" s="479">
        <v>30</v>
      </c>
      <c r="AZ69" s="479">
        <v>2.6701942999999999E-2</v>
      </c>
      <c r="BA69" s="479">
        <v>0.40711973400000001</v>
      </c>
      <c r="BB69" s="479">
        <v>1.4861299999999999E-4</v>
      </c>
      <c r="BC69" s="479">
        <v>-8.3201195279999993</v>
      </c>
      <c r="BD69" s="479">
        <v>10.157170219999999</v>
      </c>
      <c r="BE69" s="479">
        <v>30</v>
      </c>
      <c r="BF69" s="479">
        <v>-8.3934080999999994E-2</v>
      </c>
      <c r="BG69" s="479">
        <v>5.2921590000000003E-3</v>
      </c>
      <c r="BH69" s="479">
        <v>0.70243989100000004</v>
      </c>
      <c r="BI69" s="479">
        <v>-12.92858212</v>
      </c>
      <c r="BJ69" s="479">
        <v>10.10458974</v>
      </c>
      <c r="BK69" s="479">
        <v>30</v>
      </c>
      <c r="BL69" s="479">
        <v>-8.2019053999999994E-2</v>
      </c>
      <c r="BM69" s="479">
        <v>5.1061530000000004E-3</v>
      </c>
      <c r="BN69" s="479">
        <v>0.70748374300000005</v>
      </c>
      <c r="BO69" s="479">
        <v>1.18382E-2</v>
      </c>
      <c r="BP69" s="480">
        <v>3.6100000000000002E-7</v>
      </c>
      <c r="BQ69" s="479">
        <v>1.1812565000000001E-2</v>
      </c>
      <c r="BR69" s="480">
        <v>3.6199999999999999E-7</v>
      </c>
      <c r="BS69" s="479">
        <v>1.1874801000000001E-2</v>
      </c>
      <c r="BT69" s="479">
        <v>4.2483319999999996E-3</v>
      </c>
      <c r="BU69" s="480">
        <v>1.9500000000000001E-7</v>
      </c>
      <c r="BV69" s="479">
        <v>4.2432609999999999E-3</v>
      </c>
      <c r="BW69" s="480">
        <v>1.6400000000000001E-7</v>
      </c>
      <c r="BX69" s="479">
        <v>4.1596549999999999E-3</v>
      </c>
      <c r="BY69" s="480">
        <v>4.8199999999999999E-5</v>
      </c>
      <c r="BZ69" s="480">
        <v>5.5100000000000002E-9</v>
      </c>
      <c r="CA69" s="480">
        <v>4.8099999999999997E-5</v>
      </c>
      <c r="CB69" s="480">
        <v>4.6699999999999998E-9</v>
      </c>
      <c r="CC69" s="480">
        <v>4.7700000000000001E-5</v>
      </c>
      <c r="CD69" s="480">
        <v>4.7299999999999996E-6</v>
      </c>
      <c r="CE69" s="480">
        <v>9.4799999999999995E-9</v>
      </c>
      <c r="CF69" s="480">
        <v>4.7099999999999998E-6</v>
      </c>
      <c r="CG69" s="480">
        <v>8.3699999999999998E-9</v>
      </c>
      <c r="CH69" s="480">
        <v>4.33E-6</v>
      </c>
      <c r="CI69" s="480">
        <v>1.1000000000000001E-7</v>
      </c>
      <c r="CJ69" s="480">
        <v>3.4299999999999999E-9</v>
      </c>
      <c r="CK69" s="480">
        <v>1.11E-7</v>
      </c>
      <c r="CL69" s="480">
        <v>3.48E-9</v>
      </c>
      <c r="CM69" s="480">
        <v>4.7199999999999999E-8</v>
      </c>
      <c r="CN69" s="481">
        <v>45203.911805555559</v>
      </c>
      <c r="CO69" s="479">
        <v>1696481604</v>
      </c>
      <c r="CP69" s="479" t="s">
        <v>420</v>
      </c>
      <c r="CQ69" s="479" t="s">
        <v>416</v>
      </c>
      <c r="CR69" s="479" t="s">
        <v>415</v>
      </c>
      <c r="CS69" s="479">
        <v>2568</v>
      </c>
      <c r="CT69" s="479">
        <v>56.030119999999997</v>
      </c>
      <c r="CU69" s="479">
        <v>2.3900000000000002E-3</v>
      </c>
      <c r="CV69" s="479">
        <v>3</v>
      </c>
      <c r="CW69" s="480">
        <v>2.6300000000000001E-8</v>
      </c>
      <c r="CX69" s="480">
        <v>1.05E-7</v>
      </c>
      <c r="CY69" s="479">
        <v>3</v>
      </c>
      <c r="CZ69" s="479">
        <v>30</v>
      </c>
      <c r="DA69" s="480">
        <v>2.65E-7</v>
      </c>
      <c r="DB69" s="480">
        <v>3.6400000000000002E-8</v>
      </c>
      <c r="DC69" s="479">
        <v>0.21205889999999999</v>
      </c>
      <c r="DD69" s="480">
        <v>3.5600000000000001E-8</v>
      </c>
      <c r="DE69" s="480">
        <v>3.2000000000000002E-8</v>
      </c>
      <c r="DF69" s="480">
        <v>2.8699999999999999E-8</v>
      </c>
      <c r="DG69" s="480">
        <v>1.7199999999999999E-12</v>
      </c>
      <c r="DH69" s="480">
        <v>1.5399999999999999E-12</v>
      </c>
      <c r="DI69" s="480">
        <v>1.38E-12</v>
      </c>
      <c r="DJ69" s="479">
        <v>-1.6369223429999999</v>
      </c>
      <c r="DK69" s="479">
        <v>-0.85750358100000001</v>
      </c>
      <c r="DL69" s="479">
        <v>-0.118303643</v>
      </c>
      <c r="DM69" s="480">
        <v>-2.4900000000000002E-10</v>
      </c>
      <c r="DN69" s="480">
        <v>-2.3400000000000002E-10</v>
      </c>
      <c r="DO69" s="479">
        <v>2.1818582999999999E-2</v>
      </c>
      <c r="DP69" s="479">
        <v>-8.2987798060000006</v>
      </c>
      <c r="DQ69" s="479">
        <v>-5.5983838119999998</v>
      </c>
      <c r="DR69" s="479">
        <v>0.58217844299999999</v>
      </c>
      <c r="DS69" s="479">
        <v>0.70248619499999998</v>
      </c>
      <c r="DT69" s="442">
        <f>SQRT((0.0391*10^6)/(DR69-0.154))-273.15</f>
        <v>29.037140709788559</v>
      </c>
      <c r="DV69" s="467" t="s">
        <v>456</v>
      </c>
    </row>
    <row r="70" spans="1:126" s="441" customFormat="1" x14ac:dyDescent="0.2">
      <c r="A70" s="441">
        <v>2022</v>
      </c>
      <c r="B70" s="441" t="s">
        <v>467</v>
      </c>
      <c r="C70" s="441">
        <v>5130</v>
      </c>
      <c r="D70" s="441" t="s">
        <v>430</v>
      </c>
      <c r="E70" s="441">
        <v>1</v>
      </c>
      <c r="F70" s="441" t="s">
        <v>418</v>
      </c>
      <c r="G70" s="441">
        <v>-7.9981862890000004</v>
      </c>
      <c r="H70" s="441">
        <v>7.8101170000000001E-3</v>
      </c>
      <c r="I70" s="441">
        <v>30</v>
      </c>
      <c r="J70" s="441">
        <v>-4.7838299999999998E-4</v>
      </c>
      <c r="K70" s="441">
        <v>0.29076218999999998</v>
      </c>
      <c r="L70" s="441">
        <v>2.1063309999999999E-3</v>
      </c>
      <c r="M70" s="441">
        <v>-6.4250227349999998</v>
      </c>
      <c r="N70" s="441">
        <v>1.3842543000000001E-2</v>
      </c>
      <c r="O70" s="441">
        <v>30</v>
      </c>
      <c r="P70" s="441">
        <v>-1.2360909999999999E-3</v>
      </c>
      <c r="Q70" s="441">
        <v>0.61797464599999996</v>
      </c>
      <c r="R70" s="443">
        <v>2.6300000000000001E-7</v>
      </c>
      <c r="S70" s="441">
        <v>2.1117518450000001</v>
      </c>
      <c r="T70" s="441">
        <v>7.5542450000000002E-3</v>
      </c>
      <c r="U70" s="441">
        <v>30</v>
      </c>
      <c r="V70" s="441">
        <v>-4.9480599999999998E-4</v>
      </c>
      <c r="W70" s="441">
        <v>0.33249875800000001</v>
      </c>
      <c r="X70" s="441">
        <v>8.5194299999999997E-4</v>
      </c>
      <c r="Y70" s="441">
        <v>0.98592302399999998</v>
      </c>
      <c r="Z70" s="441">
        <v>1.3937878000000001E-2</v>
      </c>
      <c r="AA70" s="441">
        <v>30</v>
      </c>
      <c r="AB70" s="441">
        <v>-1.245094E-3</v>
      </c>
      <c r="AC70" s="441">
        <v>0.61846103100000005</v>
      </c>
      <c r="AD70" s="443">
        <v>2.5800000000000001E-7</v>
      </c>
      <c r="AE70" s="441">
        <v>2.8897660369999998</v>
      </c>
      <c r="AF70" s="441">
        <v>0.106117877</v>
      </c>
      <c r="AG70" s="441">
        <v>30</v>
      </c>
      <c r="AH70" s="441">
        <v>8.2728100000000002E-4</v>
      </c>
      <c r="AI70" s="441">
        <v>4.7101110000000003E-3</v>
      </c>
      <c r="AJ70" s="441">
        <v>0.71858092900000003</v>
      </c>
      <c r="AK70" s="441">
        <v>-0.25999296100000002</v>
      </c>
      <c r="AL70" s="441">
        <v>0.11082694899999999</v>
      </c>
      <c r="AM70" s="441">
        <v>30</v>
      </c>
      <c r="AN70" s="441">
        <v>2.5565369999999998E-3</v>
      </c>
      <c r="AO70" s="441">
        <v>4.1239654000000001E-2</v>
      </c>
      <c r="AP70" s="441">
        <v>0.28179681200000001</v>
      </c>
      <c r="AQ70" s="441">
        <v>2.0815408469999999</v>
      </c>
      <c r="AR70" s="441">
        <v>0.452061924</v>
      </c>
      <c r="AS70" s="441">
        <v>30</v>
      </c>
      <c r="AT70" s="441">
        <v>1.0019652E-2</v>
      </c>
      <c r="AU70" s="441">
        <v>3.8072478E-2</v>
      </c>
      <c r="AV70" s="441">
        <v>0.30146921100000001</v>
      </c>
      <c r="AW70" s="441">
        <v>0.108528923</v>
      </c>
      <c r="AX70" s="441">
        <v>0.45320675199999999</v>
      </c>
      <c r="AY70" s="441">
        <v>30</v>
      </c>
      <c r="AZ70" s="441">
        <v>1.2487768999999999E-2</v>
      </c>
      <c r="BA70" s="441">
        <v>5.8840813999999998E-2</v>
      </c>
      <c r="BB70" s="441">
        <v>0.196511779</v>
      </c>
      <c r="BC70" s="441">
        <v>-8.7049410129999991</v>
      </c>
      <c r="BD70" s="441">
        <v>10.143259929999999</v>
      </c>
      <c r="BE70" s="441">
        <v>30</v>
      </c>
      <c r="BF70" s="441">
        <v>0.35256969100000002</v>
      </c>
      <c r="BG70" s="441">
        <v>9.3634639000000006E-2</v>
      </c>
      <c r="BH70" s="441">
        <v>0.100068553</v>
      </c>
      <c r="BI70" s="441">
        <v>-12.845319050000001</v>
      </c>
      <c r="BJ70" s="441">
        <v>10.108508990000001</v>
      </c>
      <c r="BK70" s="441">
        <v>30</v>
      </c>
      <c r="BL70" s="441">
        <v>0.35402382999999998</v>
      </c>
      <c r="BM70" s="441">
        <v>9.5058835999999994E-2</v>
      </c>
      <c r="BN70" s="441">
        <v>9.7393454000000004E-2</v>
      </c>
      <c r="BO70" s="441">
        <v>1.1838127E-2</v>
      </c>
      <c r="BP70" s="443">
        <v>3.7399999999999999E-7</v>
      </c>
      <c r="BQ70" s="441">
        <v>1.181318E-2</v>
      </c>
      <c r="BR70" s="443">
        <v>3.2000000000000001E-7</v>
      </c>
      <c r="BS70" s="441">
        <v>1.1874109000000001E-2</v>
      </c>
      <c r="BT70" s="441">
        <v>4.2475409999999996E-3</v>
      </c>
      <c r="BU70" s="443">
        <v>2.5499999999999999E-7</v>
      </c>
      <c r="BV70" s="441">
        <v>4.2433569999999997E-3</v>
      </c>
      <c r="BW70" s="443">
        <v>2.0800000000000001E-7</v>
      </c>
      <c r="BX70" s="441">
        <v>4.1587869999999997E-3</v>
      </c>
      <c r="BY70" s="443">
        <v>4.8199999999999999E-5</v>
      </c>
      <c r="BZ70" s="443">
        <v>4.42E-9</v>
      </c>
      <c r="CA70" s="443">
        <v>4.8099999999999997E-5</v>
      </c>
      <c r="CB70" s="443">
        <v>3.2599999999999999E-9</v>
      </c>
      <c r="CC70" s="443">
        <v>4.7599999999999998E-5</v>
      </c>
      <c r="CD70" s="443">
        <v>4.7400000000000004E-6</v>
      </c>
      <c r="CE70" s="443">
        <v>1E-8</v>
      </c>
      <c r="CF70" s="443">
        <v>4.7299999999999996E-6</v>
      </c>
      <c r="CG70" s="443">
        <v>9.53E-9</v>
      </c>
      <c r="CH70" s="443">
        <v>4.3200000000000001E-6</v>
      </c>
      <c r="CI70" s="443">
        <v>1.15E-7</v>
      </c>
      <c r="CJ70" s="443">
        <v>3.9199999999999997E-9</v>
      </c>
      <c r="CK70" s="443">
        <v>1.1600000000000001E-7</v>
      </c>
      <c r="CL70" s="443">
        <v>3.5699999999999999E-9</v>
      </c>
      <c r="CM70" s="443">
        <v>4.7099999999999998E-8</v>
      </c>
      <c r="CN70" s="444">
        <v>45205.029861111114</v>
      </c>
      <c r="CO70" s="441">
        <v>1696578232</v>
      </c>
      <c r="CP70" s="441" t="s">
        <v>420</v>
      </c>
      <c r="CQ70" s="441" t="s">
        <v>416</v>
      </c>
      <c r="CR70" s="441" t="s">
        <v>415</v>
      </c>
      <c r="CS70" s="441">
        <v>2620</v>
      </c>
      <c r="CT70" s="441">
        <v>54.595790000000001</v>
      </c>
      <c r="CU70" s="441">
        <v>2.6800000000000001E-3</v>
      </c>
      <c r="CV70" s="441">
        <v>3</v>
      </c>
      <c r="CW70" s="443">
        <v>2.7E-8</v>
      </c>
      <c r="CX70" s="443">
        <v>1.05E-7</v>
      </c>
      <c r="CY70" s="441">
        <v>3</v>
      </c>
      <c r="CZ70" s="441">
        <v>30</v>
      </c>
      <c r="DA70" s="443">
        <v>2.65E-7</v>
      </c>
      <c r="DB70" s="443">
        <v>3.3400000000000001E-8</v>
      </c>
      <c r="DC70" s="441">
        <v>0.16879469999999999</v>
      </c>
      <c r="DD70" s="443">
        <v>3.2600000000000001E-8</v>
      </c>
      <c r="DE70" s="443">
        <v>2.9399999999999999E-8</v>
      </c>
      <c r="DF70" s="443">
        <v>2.6300000000000001E-8</v>
      </c>
      <c r="DG70" s="443">
        <v>1.57E-12</v>
      </c>
      <c r="DH70" s="443">
        <v>1.42E-12</v>
      </c>
      <c r="DI70" s="443">
        <v>1.27E-12</v>
      </c>
      <c r="DJ70" s="441">
        <v>-1.9629175139999999</v>
      </c>
      <c r="DK70" s="441">
        <v>-1.0366635870000001</v>
      </c>
      <c r="DL70" s="441">
        <v>-0.171633851</v>
      </c>
      <c r="DM70" s="443">
        <v>-2.2900000000000001E-10</v>
      </c>
      <c r="DN70" s="443">
        <v>-2.11E-10</v>
      </c>
      <c r="DO70" s="441">
        <v>2.0838088000000001E-2</v>
      </c>
      <c r="DP70" s="441">
        <v>-8.353066686</v>
      </c>
      <c r="DQ70" s="441">
        <v>-5.8053108389999997</v>
      </c>
      <c r="DR70" s="441">
        <v>0.63326577900000003</v>
      </c>
      <c r="DS70" s="441">
        <v>0.78367585399999995</v>
      </c>
      <c r="DT70" s="442">
        <f>SQRT((0.0391*10^6)/(DR70-0.154))-273.15</f>
        <v>12.477598615777197</v>
      </c>
    </row>
    <row r="71" spans="1:126" s="441" customFormat="1" x14ac:dyDescent="0.2">
      <c r="A71" s="441">
        <v>2036</v>
      </c>
      <c r="B71" s="441" t="s">
        <v>466</v>
      </c>
      <c r="C71" s="441">
        <v>5130</v>
      </c>
      <c r="D71" s="441" t="s">
        <v>430</v>
      </c>
      <c r="E71" s="441">
        <v>1</v>
      </c>
      <c r="F71" s="441" t="s">
        <v>418</v>
      </c>
      <c r="G71" s="441">
        <v>-7.9758254669999999</v>
      </c>
      <c r="H71" s="441">
        <v>7.718323E-3</v>
      </c>
      <c r="I71" s="441">
        <v>30</v>
      </c>
      <c r="J71" s="441">
        <v>-3.39888E-4</v>
      </c>
      <c r="K71" s="441">
        <v>0.15028950899999999</v>
      </c>
      <c r="L71" s="441">
        <v>3.4284045999999999E-2</v>
      </c>
      <c r="M71" s="441">
        <v>-6.4232445570000003</v>
      </c>
      <c r="N71" s="441">
        <v>1.3905915E-2</v>
      </c>
      <c r="O71" s="441">
        <v>30</v>
      </c>
      <c r="P71" s="441">
        <v>-1.189114E-3</v>
      </c>
      <c r="Q71" s="441">
        <v>0.56669514499999996</v>
      </c>
      <c r="R71" s="443">
        <v>1.59E-6</v>
      </c>
      <c r="S71" s="441">
        <v>2.1329124959999999</v>
      </c>
      <c r="T71" s="441">
        <v>7.4789289999999996E-3</v>
      </c>
      <c r="U71" s="441">
        <v>30</v>
      </c>
      <c r="V71" s="441">
        <v>-3.62481E-4</v>
      </c>
      <c r="W71" s="441">
        <v>0.18205157799999999</v>
      </c>
      <c r="X71" s="441">
        <v>1.8705042000000002E-2</v>
      </c>
      <c r="Y71" s="441">
        <v>0.98775984800000005</v>
      </c>
      <c r="Z71" s="441">
        <v>1.4001941E-2</v>
      </c>
      <c r="AA71" s="441">
        <v>30</v>
      </c>
      <c r="AB71" s="441">
        <v>-1.197521E-3</v>
      </c>
      <c r="AC71" s="441">
        <v>0.56688038100000004</v>
      </c>
      <c r="AD71" s="443">
        <v>1.5799999999999999E-6</v>
      </c>
      <c r="AE71" s="441">
        <v>2.9042816739999999</v>
      </c>
      <c r="AF71" s="441">
        <v>8.2680767000000002E-2</v>
      </c>
      <c r="AG71" s="441">
        <v>30</v>
      </c>
      <c r="AH71" s="441">
        <v>4.4940290000000001E-3</v>
      </c>
      <c r="AI71" s="441">
        <v>0.228962523</v>
      </c>
      <c r="AJ71" s="441">
        <v>7.4776280000000001E-3</v>
      </c>
      <c r="AK71" s="441">
        <v>-0.26911047199999999</v>
      </c>
      <c r="AL71" s="441">
        <v>9.0085925999999997E-2</v>
      </c>
      <c r="AM71" s="441">
        <v>30</v>
      </c>
      <c r="AN71" s="441">
        <v>6.0286690000000004E-3</v>
      </c>
      <c r="AO71" s="441">
        <v>0.34708087100000001</v>
      </c>
      <c r="AP71" s="441">
        <v>6.1408399999999998E-4</v>
      </c>
      <c r="AQ71" s="441">
        <v>1.8329389009999999</v>
      </c>
      <c r="AR71" s="441">
        <v>0.31444408499999998</v>
      </c>
      <c r="AS71" s="441">
        <v>30</v>
      </c>
      <c r="AT71" s="441">
        <v>1.2504191E-2</v>
      </c>
      <c r="AU71" s="441">
        <v>0.122553599</v>
      </c>
      <c r="AV71" s="441">
        <v>5.7896510999999998E-2</v>
      </c>
      <c r="AW71" s="441">
        <v>-0.14325110199999999</v>
      </c>
      <c r="AX71" s="441">
        <v>0.322423389</v>
      </c>
      <c r="AY71" s="441">
        <v>30</v>
      </c>
      <c r="AZ71" s="441">
        <v>1.4871667999999999E-2</v>
      </c>
      <c r="BA71" s="441">
        <v>0.164880001</v>
      </c>
      <c r="BB71" s="441">
        <v>2.5983517000000001E-2</v>
      </c>
      <c r="BC71" s="441">
        <v>-14.358538619999999</v>
      </c>
      <c r="BD71" s="441">
        <v>11.92344701</v>
      </c>
      <c r="BE71" s="441">
        <v>30</v>
      </c>
      <c r="BF71" s="441">
        <v>0.17976747800000001</v>
      </c>
      <c r="BG71" s="441">
        <v>1.7616527E-2</v>
      </c>
      <c r="BH71" s="441">
        <v>0.484433424</v>
      </c>
      <c r="BI71" s="441">
        <v>-18.500897309999999</v>
      </c>
      <c r="BJ71" s="441">
        <v>11.883433950000001</v>
      </c>
      <c r="BK71" s="441">
        <v>30</v>
      </c>
      <c r="BL71" s="441">
        <v>0.18168701400000001</v>
      </c>
      <c r="BM71" s="441">
        <v>1.8116136000000001E-2</v>
      </c>
      <c r="BN71" s="441">
        <v>0.47824675900000002</v>
      </c>
      <c r="BO71" s="441">
        <v>1.1838563999999999E-2</v>
      </c>
      <c r="BP71" s="443">
        <v>4.4200000000000001E-7</v>
      </c>
      <c r="BQ71" s="441">
        <v>1.1813367E-2</v>
      </c>
      <c r="BR71" s="443">
        <v>3.9999999999999998E-7</v>
      </c>
      <c r="BS71" s="441">
        <v>1.187436E-2</v>
      </c>
      <c r="BT71" s="441">
        <v>4.2477260000000003E-3</v>
      </c>
      <c r="BU71" s="443">
        <v>3.1800000000000002E-7</v>
      </c>
      <c r="BV71" s="441">
        <v>4.2435349999999997E-3</v>
      </c>
      <c r="BW71" s="443">
        <v>2.72E-7</v>
      </c>
      <c r="BX71" s="441">
        <v>4.1587940000000004E-3</v>
      </c>
      <c r="BY71" s="443">
        <v>4.8399999999999997E-5</v>
      </c>
      <c r="BZ71" s="443">
        <v>4.7500000000000003E-9</v>
      </c>
      <c r="CA71" s="443">
        <v>4.8199999999999999E-5</v>
      </c>
      <c r="CB71" s="443">
        <v>2.6799999999999998E-9</v>
      </c>
      <c r="CC71" s="443">
        <v>4.7599999999999998E-5</v>
      </c>
      <c r="CD71" s="443">
        <v>4.7299999999999996E-6</v>
      </c>
      <c r="CE71" s="443">
        <v>8.9299999999999996E-9</v>
      </c>
      <c r="CF71" s="443">
        <v>4.7199999999999997E-6</v>
      </c>
      <c r="CG71" s="443">
        <v>8.3300000000000008E-9</v>
      </c>
      <c r="CH71" s="443">
        <v>4.3200000000000001E-6</v>
      </c>
      <c r="CI71" s="443">
        <v>1.06E-7</v>
      </c>
      <c r="CJ71" s="443">
        <v>3.5100000000000001E-9</v>
      </c>
      <c r="CK71" s="443">
        <v>1.08E-7</v>
      </c>
      <c r="CL71" s="443">
        <v>3.36E-9</v>
      </c>
      <c r="CM71" s="443">
        <v>4.6900000000000003E-8</v>
      </c>
      <c r="CN71" s="444">
        <v>45206.006944444445</v>
      </c>
      <c r="CO71" s="441">
        <v>1696662609</v>
      </c>
      <c r="CP71" s="441" t="s">
        <v>422</v>
      </c>
      <c r="CQ71" s="441" t="s">
        <v>416</v>
      </c>
      <c r="CR71" s="441" t="s">
        <v>415</v>
      </c>
      <c r="CS71" s="441">
        <v>2946</v>
      </c>
      <c r="CT71" s="441">
        <v>57.800139999999999</v>
      </c>
      <c r="CU71" s="441">
        <v>2.8E-3</v>
      </c>
      <c r="CV71" s="441">
        <v>3</v>
      </c>
      <c r="CW71" s="443">
        <v>2.6400000000000001E-8</v>
      </c>
      <c r="CX71" s="443">
        <v>1.04E-7</v>
      </c>
      <c r="CY71" s="441">
        <v>3</v>
      </c>
      <c r="CZ71" s="441">
        <v>30</v>
      </c>
      <c r="DA71" s="443">
        <v>2.65E-7</v>
      </c>
      <c r="DB71" s="443">
        <v>3.99E-8</v>
      </c>
      <c r="DC71" s="441">
        <v>0.2408805</v>
      </c>
      <c r="DD71" s="443">
        <v>3.8999999999999998E-8</v>
      </c>
      <c r="DE71" s="443">
        <v>3.4900000000000001E-8</v>
      </c>
      <c r="DF71" s="443">
        <v>3.1E-8</v>
      </c>
      <c r="DG71" s="443">
        <v>1.8899999999999998E-12</v>
      </c>
      <c r="DH71" s="443">
        <v>1.6900000000000001E-12</v>
      </c>
      <c r="DI71" s="443">
        <v>1.5000000000000001E-12</v>
      </c>
      <c r="DJ71" s="441">
        <v>-1.9290734709999999</v>
      </c>
      <c r="DK71" s="441">
        <v>-1.0121492620000001</v>
      </c>
      <c r="DL71" s="441">
        <v>-0.15141083499999999</v>
      </c>
      <c r="DM71" s="443">
        <v>-2.9099999999999998E-10</v>
      </c>
      <c r="DN71" s="443">
        <v>-2.7199999999999999E-10</v>
      </c>
      <c r="DO71" s="441">
        <v>1.9619871000000001E-2</v>
      </c>
      <c r="DP71" s="441">
        <v>-8.3306404240000003</v>
      </c>
      <c r="DQ71" s="441">
        <v>-5.803538165</v>
      </c>
      <c r="DR71" s="441">
        <v>0.62381050199999999</v>
      </c>
      <c r="DS71" s="441">
        <v>0.34550466600000002</v>
      </c>
      <c r="DT71" s="442">
        <f>SQRT((0.0391*10^6)/(DR71-0.154))-273.15</f>
        <v>15.33751209931512</v>
      </c>
    </row>
    <row r="72" spans="1:126" x14ac:dyDescent="0.2">
      <c r="R72" s="423"/>
      <c r="AD72" s="423"/>
      <c r="BP72" s="423"/>
      <c r="BR72" s="423"/>
      <c r="BU72" s="423"/>
      <c r="BW72" s="423"/>
      <c r="BY72" s="423"/>
      <c r="BZ72" s="423"/>
      <c r="CA72" s="423"/>
      <c r="CB72" s="423"/>
      <c r="CC72" s="423"/>
      <c r="CD72" s="423"/>
      <c r="CE72" s="423"/>
      <c r="CF72" s="423"/>
      <c r="CG72" s="423"/>
      <c r="CH72" s="423"/>
      <c r="CI72" s="423"/>
      <c r="CJ72" s="423"/>
      <c r="CK72" s="423"/>
      <c r="CL72" s="423"/>
      <c r="CM72" s="423"/>
      <c r="CN72" s="424"/>
      <c r="CW72" s="423"/>
      <c r="CX72" s="423"/>
      <c r="DA72" s="423"/>
      <c r="DB72" s="423"/>
      <c r="DD72" s="423"/>
      <c r="DE72" s="423"/>
      <c r="DF72" s="423"/>
      <c r="DG72" s="423"/>
      <c r="DH72" s="423"/>
      <c r="DI72" s="423"/>
      <c r="DM72" s="423"/>
      <c r="DN72" s="423"/>
      <c r="DO72" s="425" t="s">
        <v>437</v>
      </c>
      <c r="DP72" s="425">
        <f>AVERAGE(DP70:DP71)</f>
        <v>-8.3418535550000001</v>
      </c>
      <c r="DQ72" s="425">
        <f>AVERAGE(DQ70:DQ71)</f>
        <v>-5.8044245019999998</v>
      </c>
      <c r="DR72" s="425">
        <f>AVERAGE(DR70:DR71)</f>
        <v>0.62853814050000001</v>
      </c>
      <c r="DS72" s="425">
        <f>AVERAGE(DS70:DS71)</f>
        <v>0.56459026000000001</v>
      </c>
      <c r="DT72" s="440">
        <f>AVERAGE(DT69:DT71)</f>
        <v>18.950750474960291</v>
      </c>
    </row>
    <row r="73" spans="1:126" x14ac:dyDescent="0.2">
      <c r="R73" s="423"/>
      <c r="AD73" s="423"/>
      <c r="BP73" s="423"/>
      <c r="BR73" s="423"/>
      <c r="BU73" s="423"/>
      <c r="BW73" s="423"/>
      <c r="BY73" s="423"/>
      <c r="BZ73" s="423"/>
      <c r="CA73" s="423"/>
      <c r="CB73" s="423"/>
      <c r="CC73" s="423"/>
      <c r="CD73" s="423"/>
      <c r="CE73" s="423"/>
      <c r="CF73" s="423"/>
      <c r="CG73" s="423"/>
      <c r="CH73" s="423"/>
      <c r="CI73" s="423"/>
      <c r="CJ73" s="423"/>
      <c r="CK73" s="423"/>
      <c r="CL73" s="423"/>
      <c r="CM73" s="423"/>
      <c r="CN73" s="424"/>
      <c r="CW73" s="423"/>
      <c r="CX73" s="423"/>
      <c r="DA73" s="423"/>
      <c r="DB73" s="423"/>
      <c r="DD73" s="423"/>
      <c r="DE73" s="423"/>
      <c r="DF73" s="423"/>
      <c r="DG73" s="423"/>
      <c r="DH73" s="423"/>
      <c r="DI73" s="423"/>
      <c r="DM73" s="423"/>
      <c r="DN73" s="422" t="s">
        <v>448</v>
      </c>
      <c r="DO73" s="425" t="s">
        <v>394</v>
      </c>
      <c r="DP73" s="425">
        <f>STDEV(DP69:DP71)</f>
        <v>2.7279728575045317E-2</v>
      </c>
      <c r="DQ73" s="425">
        <f>STDEV(DQ69:DQ71)</f>
        <v>0.11896094977695947</v>
      </c>
      <c r="DR73" s="425">
        <f>STDEV(DR69:DR71)</f>
        <v>2.7180098415639554E-2</v>
      </c>
      <c r="DS73" s="425">
        <f>STDEV(DS69:DS71)</f>
        <v>0.23310282522563788</v>
      </c>
      <c r="DT73" s="425">
        <f>STDEV(DT69:DT71)</f>
        <v>8.8513404216683398</v>
      </c>
    </row>
    <row r="74" spans="1:126" x14ac:dyDescent="0.2">
      <c r="R74" s="423"/>
      <c r="AD74" s="423"/>
      <c r="BP74" s="423"/>
      <c r="BR74" s="423"/>
      <c r="BU74" s="423"/>
      <c r="BW74" s="423"/>
      <c r="BY74" s="423"/>
      <c r="BZ74" s="423"/>
      <c r="CA74" s="423"/>
      <c r="CB74" s="423"/>
      <c r="CC74" s="423"/>
      <c r="CD74" s="423"/>
      <c r="CE74" s="423"/>
      <c r="CF74" s="423"/>
      <c r="CG74" s="423"/>
      <c r="CH74" s="423"/>
      <c r="CI74" s="423"/>
      <c r="CJ74" s="423"/>
      <c r="CK74" s="423"/>
      <c r="CL74" s="423"/>
      <c r="CM74" s="423"/>
      <c r="CN74" s="424"/>
      <c r="CW74" s="423"/>
      <c r="CX74" s="423"/>
      <c r="DA74" s="423"/>
      <c r="DB74" s="423"/>
      <c r="DD74" s="423"/>
      <c r="DE74" s="423"/>
      <c r="DF74" s="423"/>
      <c r="DG74" s="423"/>
      <c r="DH74" s="423"/>
      <c r="DI74" s="423"/>
      <c r="DM74" s="423"/>
      <c r="DO74" s="425" t="s">
        <v>436</v>
      </c>
      <c r="DP74" s="425">
        <f>DP73/SQRT(4)</f>
        <v>1.3639864287522658E-2</v>
      </c>
      <c r="DQ74" s="425">
        <f>DQ73/SQRT(4)</f>
        <v>5.9480474888479733E-2</v>
      </c>
      <c r="DR74" s="425">
        <f>DR73/SQRT(4)</f>
        <v>1.3590049207819777E-2</v>
      </c>
      <c r="DS74" s="425">
        <f>DS73/SQRT(4)</f>
        <v>0.11655141261281894</v>
      </c>
      <c r="DT74" s="425">
        <f>DT73/SQRT(4)</f>
        <v>4.4256702108341699</v>
      </c>
    </row>
    <row r="75" spans="1:126" x14ac:dyDescent="0.2">
      <c r="R75" s="423"/>
      <c r="AD75" s="423"/>
      <c r="BP75" s="423"/>
      <c r="BR75" s="423"/>
      <c r="BU75" s="423"/>
      <c r="BW75" s="423"/>
      <c r="BY75" s="423"/>
      <c r="BZ75" s="423"/>
      <c r="CA75" s="423"/>
      <c r="CB75" s="423"/>
      <c r="CC75" s="423"/>
      <c r="CD75" s="423"/>
      <c r="CE75" s="423"/>
      <c r="CF75" s="423"/>
      <c r="CG75" s="423"/>
      <c r="CH75" s="423"/>
      <c r="CI75" s="423"/>
      <c r="CJ75" s="423"/>
      <c r="CK75" s="423"/>
      <c r="CL75" s="423"/>
      <c r="CM75" s="423"/>
      <c r="CN75" s="424"/>
      <c r="CW75" s="423"/>
      <c r="CX75" s="423"/>
      <c r="DA75" s="423"/>
      <c r="DB75" s="423"/>
      <c r="DD75" s="423"/>
      <c r="DE75" s="423"/>
      <c r="DF75" s="423"/>
      <c r="DG75" s="423"/>
      <c r="DH75" s="423"/>
      <c r="DI75" s="423"/>
      <c r="DM75" s="423"/>
      <c r="DO75" s="425"/>
      <c r="DP75" s="425"/>
      <c r="DQ75" s="425"/>
      <c r="DR75" s="425"/>
      <c r="DS75" s="425"/>
      <c r="DT75" s="427"/>
    </row>
    <row r="76" spans="1:126" x14ac:dyDescent="0.2">
      <c r="R76" s="423"/>
      <c r="AD76" s="423"/>
      <c r="BP76" s="423"/>
      <c r="BR76" s="423"/>
      <c r="BU76" s="423"/>
      <c r="BW76" s="423"/>
      <c r="BY76" s="423"/>
      <c r="BZ76" s="423"/>
      <c r="CA76" s="423"/>
      <c r="CB76" s="423"/>
      <c r="CC76" s="423"/>
      <c r="CD76" s="423"/>
      <c r="CE76" s="423"/>
      <c r="CF76" s="423"/>
      <c r="CG76" s="423"/>
      <c r="CH76" s="423"/>
      <c r="CI76" s="423"/>
      <c r="CJ76" s="423"/>
      <c r="CK76" s="423"/>
      <c r="CL76" s="423"/>
      <c r="CM76" s="423"/>
      <c r="CN76" s="424"/>
      <c r="CW76" s="423"/>
      <c r="CX76" s="423"/>
      <c r="DA76" s="423"/>
      <c r="DB76" s="423"/>
      <c r="DD76" s="423"/>
      <c r="DE76" s="423"/>
      <c r="DF76" s="423"/>
      <c r="DG76" s="423"/>
      <c r="DH76" s="423"/>
      <c r="DI76" s="423"/>
      <c r="DM76" s="423"/>
      <c r="DO76" s="425" t="s">
        <v>437</v>
      </c>
      <c r="DP76" s="425">
        <f>AVERAGE(DP70:DP71)</f>
        <v>-8.3418535550000001</v>
      </c>
      <c r="DQ76" s="425">
        <f>AVERAGE(DQ70:DQ71)</f>
        <v>-5.8044245019999998</v>
      </c>
      <c r="DR76" s="425">
        <f>AVERAGE(DR70:DR71)</f>
        <v>0.62853814050000001</v>
      </c>
      <c r="DS76" s="425">
        <f>AVERAGE(DS70:DS71)</f>
        <v>0.56459026000000001</v>
      </c>
      <c r="DT76" s="440">
        <f>AVERAGE(DT70:DT71)</f>
        <v>13.907555357546158</v>
      </c>
    </row>
    <row r="77" spans="1:126" ht="34" x14ac:dyDescent="0.2">
      <c r="R77" s="423"/>
      <c r="AD77" s="423"/>
      <c r="BP77" s="423"/>
      <c r="BR77" s="423"/>
      <c r="BU77" s="423"/>
      <c r="BW77" s="423"/>
      <c r="BY77" s="423"/>
      <c r="BZ77" s="423"/>
      <c r="CA77" s="423"/>
      <c r="CB77" s="423"/>
      <c r="CC77" s="423"/>
      <c r="CD77" s="423"/>
      <c r="CE77" s="423"/>
      <c r="CF77" s="423"/>
      <c r="CG77" s="423"/>
      <c r="CH77" s="423"/>
      <c r="CI77" s="423"/>
      <c r="CJ77" s="423"/>
      <c r="CK77" s="423"/>
      <c r="CL77" s="423"/>
      <c r="CM77" s="423"/>
      <c r="CN77" s="424"/>
      <c r="CW77" s="423"/>
      <c r="CX77" s="423"/>
      <c r="DA77" s="423"/>
      <c r="DB77" s="423"/>
      <c r="DD77" s="423"/>
      <c r="DE77" s="423"/>
      <c r="DF77" s="423"/>
      <c r="DG77" s="423"/>
      <c r="DH77" s="423"/>
      <c r="DI77" s="423"/>
      <c r="DM77" s="423"/>
      <c r="DN77" s="422" t="s">
        <v>447</v>
      </c>
      <c r="DO77" s="425" t="s">
        <v>394</v>
      </c>
      <c r="DP77" s="425">
        <f>STDEV(DP70:DP71)</f>
        <v>1.585776193686601E-2</v>
      </c>
      <c r="DQ77" s="425">
        <f>STDEV(DQ70:DQ71)</f>
        <v>1.2534698062328675E-3</v>
      </c>
      <c r="DR77" s="425">
        <f>STDEV(DR70:DR71)</f>
        <v>6.6858904846972232E-3</v>
      </c>
      <c r="DS77" s="425">
        <f>STDEV(DS70:DS71)</f>
        <v>0.30983381835536544</v>
      </c>
      <c r="DT77" s="425">
        <f>STDEV(DT70:DT71)</f>
        <v>2.0222642178165149</v>
      </c>
      <c r="DV77" s="445" t="s">
        <v>452</v>
      </c>
    </row>
    <row r="78" spans="1:126" x14ac:dyDescent="0.2">
      <c r="R78" s="423"/>
      <c r="AD78" s="423"/>
      <c r="BP78" s="423"/>
      <c r="BR78" s="423"/>
      <c r="BU78" s="423"/>
      <c r="BW78" s="423"/>
      <c r="BY78" s="423"/>
      <c r="BZ78" s="423"/>
      <c r="CA78" s="423"/>
      <c r="CB78" s="423"/>
      <c r="CC78" s="423"/>
      <c r="CD78" s="423"/>
      <c r="CE78" s="423"/>
      <c r="CF78" s="423"/>
      <c r="CG78" s="423"/>
      <c r="CH78" s="423"/>
      <c r="CI78" s="423"/>
      <c r="CJ78" s="423"/>
      <c r="CK78" s="423"/>
      <c r="CL78" s="423"/>
      <c r="CM78" s="423"/>
      <c r="CN78" s="424"/>
      <c r="CW78" s="423"/>
      <c r="CX78" s="423"/>
      <c r="DA78" s="423"/>
      <c r="DB78" s="423"/>
      <c r="DD78" s="423"/>
      <c r="DE78" s="423"/>
      <c r="DF78" s="423"/>
      <c r="DG78" s="423"/>
      <c r="DH78" s="423"/>
      <c r="DI78" s="423"/>
      <c r="DM78" s="423"/>
      <c r="DN78" s="423"/>
      <c r="DO78" s="425" t="s">
        <v>436</v>
      </c>
      <c r="DP78" s="425">
        <f>DP77/(SQRT(4))</f>
        <v>7.9288809684330049E-3</v>
      </c>
      <c r="DQ78" s="425">
        <f>DQ77/(SQRT(4))</f>
        <v>6.2673490311643374E-4</v>
      </c>
      <c r="DR78" s="425">
        <f>DR77/(SQRT(4))</f>
        <v>3.3429452423486116E-3</v>
      </c>
      <c r="DS78" s="425">
        <f>DS77/(SQRT(4))</f>
        <v>0.15491690917768272</v>
      </c>
      <c r="DT78" s="425">
        <f>DT77/(SQRT(4))</f>
        <v>1.0111321089082574</v>
      </c>
    </row>
    <row r="79" spans="1:126" x14ac:dyDescent="0.2">
      <c r="R79" s="423"/>
      <c r="AD79" s="423"/>
      <c r="BP79" s="423"/>
      <c r="BR79" s="423"/>
      <c r="BU79" s="423"/>
      <c r="BW79" s="423"/>
      <c r="BY79" s="423"/>
      <c r="BZ79" s="423"/>
      <c r="CA79" s="423"/>
      <c r="CB79" s="423"/>
      <c r="CC79" s="423"/>
      <c r="CD79" s="423"/>
      <c r="CE79" s="423"/>
      <c r="CF79" s="423"/>
      <c r="CG79" s="423"/>
      <c r="CH79" s="423"/>
      <c r="CI79" s="423"/>
      <c r="CJ79" s="423"/>
      <c r="CK79" s="423"/>
      <c r="CL79" s="423"/>
      <c r="CM79" s="423"/>
      <c r="CN79" s="424"/>
      <c r="CW79" s="423"/>
      <c r="CX79" s="423"/>
      <c r="DA79" s="423"/>
      <c r="DB79" s="423"/>
      <c r="DD79" s="423"/>
      <c r="DE79" s="423"/>
      <c r="DF79" s="423"/>
      <c r="DG79" s="423"/>
      <c r="DH79" s="423"/>
      <c r="DI79" s="423"/>
      <c r="DM79" s="423"/>
      <c r="DN79" s="423"/>
      <c r="DT79" s="427"/>
    </row>
    <row r="80" spans="1:126" s="475" customFormat="1" x14ac:dyDescent="0.2">
      <c r="A80" s="475">
        <v>2001</v>
      </c>
      <c r="B80" s="475" t="s">
        <v>465</v>
      </c>
      <c r="C80" s="475">
        <v>5365</v>
      </c>
      <c r="D80" s="475" t="s">
        <v>430</v>
      </c>
      <c r="E80" s="475">
        <v>1</v>
      </c>
      <c r="F80" s="475" t="s">
        <v>418</v>
      </c>
      <c r="G80" s="475">
        <v>-8.2908764799999997</v>
      </c>
      <c r="H80" s="475">
        <v>5.2004149999999999E-3</v>
      </c>
      <c r="I80" s="475">
        <v>30</v>
      </c>
      <c r="J80" s="475">
        <v>1.5995199999999999E-4</v>
      </c>
      <c r="K80" s="475">
        <v>7.3316822000000004E-2</v>
      </c>
      <c r="L80" s="475">
        <v>0.147826713</v>
      </c>
      <c r="M80" s="475">
        <v>-6.5656537190000002</v>
      </c>
      <c r="N80" s="475">
        <v>8.5353970000000001E-3</v>
      </c>
      <c r="O80" s="475">
        <v>30</v>
      </c>
      <c r="P80" s="475">
        <v>-4.8733099999999997E-4</v>
      </c>
      <c r="Q80" s="475">
        <v>0.25263963699999997</v>
      </c>
      <c r="R80" s="475">
        <v>4.6441099999999999E-3</v>
      </c>
      <c r="S80" s="475">
        <v>1.8306471449999999</v>
      </c>
      <c r="T80" s="475">
        <v>4.9012190000000001E-3</v>
      </c>
      <c r="U80" s="475">
        <v>30</v>
      </c>
      <c r="V80" s="475">
        <v>1.3379399999999999E-4</v>
      </c>
      <c r="W80" s="475">
        <v>5.7751689000000002E-2</v>
      </c>
      <c r="X80" s="475">
        <v>0.20083462199999999</v>
      </c>
      <c r="Y80" s="475">
        <v>0.84376545800000002</v>
      </c>
      <c r="Z80" s="475">
        <v>8.5900649999999992E-3</v>
      </c>
      <c r="AA80" s="475">
        <v>30</v>
      </c>
      <c r="AB80" s="475">
        <v>-4.9014499999999999E-4</v>
      </c>
      <c r="AC80" s="475">
        <v>0.25232353099999999</v>
      </c>
      <c r="AD80" s="475">
        <v>4.6740610000000002E-3</v>
      </c>
      <c r="AE80" s="475">
        <v>2.3912545779999999</v>
      </c>
      <c r="AF80" s="475">
        <v>6.1302352999999997E-2</v>
      </c>
      <c r="AG80" s="475">
        <v>30</v>
      </c>
      <c r="AH80" s="475">
        <v>5.9594900000000002E-4</v>
      </c>
      <c r="AI80" s="475">
        <v>7.3242929999999999E-3</v>
      </c>
      <c r="AJ80" s="475">
        <v>0.65295494600000004</v>
      </c>
      <c r="AK80" s="475">
        <v>-0.32804661000000002</v>
      </c>
      <c r="AL80" s="475">
        <v>6.2209366000000002E-2</v>
      </c>
      <c r="AM80" s="475">
        <v>30</v>
      </c>
      <c r="AN80" s="475">
        <v>9.3782299999999996E-4</v>
      </c>
      <c r="AO80" s="475">
        <v>1.7612945000000001E-2</v>
      </c>
      <c r="AP80" s="475">
        <v>0.48447824900000003</v>
      </c>
      <c r="AQ80" s="475">
        <v>1.510492076</v>
      </c>
      <c r="AR80" s="475">
        <v>0.22646614300000001</v>
      </c>
      <c r="AS80" s="475">
        <v>30</v>
      </c>
      <c r="AT80" s="475">
        <v>4.6598400000000002E-4</v>
      </c>
      <c r="AU80" s="475">
        <v>3.28124E-4</v>
      </c>
      <c r="AV80" s="475">
        <v>0.92430909100000003</v>
      </c>
      <c r="AW80" s="475">
        <v>-0.177433956</v>
      </c>
      <c r="AX80" s="475">
        <v>0.228588447</v>
      </c>
      <c r="AY80" s="475">
        <v>30</v>
      </c>
      <c r="AZ80" s="475">
        <v>1.444376E-3</v>
      </c>
      <c r="BA80" s="475">
        <v>3.0942399999999998E-3</v>
      </c>
      <c r="BB80" s="475">
        <v>0.77032068300000001</v>
      </c>
      <c r="BC80" s="475">
        <v>-21.368731919999998</v>
      </c>
      <c r="BD80" s="475">
        <v>5.7176892270000002</v>
      </c>
      <c r="BE80" s="475">
        <v>30</v>
      </c>
      <c r="BF80" s="475">
        <v>-9.1081706999999998E-2</v>
      </c>
      <c r="BG80" s="475">
        <v>1.9666311999999998E-2</v>
      </c>
      <c r="BH80" s="475">
        <v>0.45982566000000002</v>
      </c>
      <c r="BI80" s="475">
        <v>-24.892653230000001</v>
      </c>
      <c r="BJ80" s="475">
        <v>5.6971184170000004</v>
      </c>
      <c r="BK80" s="475">
        <v>30</v>
      </c>
      <c r="BL80" s="475">
        <v>-8.9951247999999998E-2</v>
      </c>
      <c r="BM80" s="475">
        <v>1.9319932000000001E-2</v>
      </c>
      <c r="BN80" s="475">
        <v>0.46384439300000002</v>
      </c>
      <c r="BO80" s="475">
        <v>1.1834984E-2</v>
      </c>
      <c r="BP80" s="477">
        <v>6.5600000000000005E-8</v>
      </c>
      <c r="BQ80" s="475">
        <v>1.1813357999999999E-2</v>
      </c>
      <c r="BR80" s="477">
        <v>5.54E-8</v>
      </c>
      <c r="BS80" s="475">
        <v>1.1870778E-2</v>
      </c>
      <c r="BT80" s="475">
        <v>4.2463609999999997E-3</v>
      </c>
      <c r="BU80" s="477">
        <v>1.36E-7</v>
      </c>
      <c r="BV80" s="475">
        <v>4.2427810000000002E-3</v>
      </c>
      <c r="BW80" s="477">
        <v>1.54E-7</v>
      </c>
      <c r="BX80" s="475">
        <v>4.1581960000000003E-3</v>
      </c>
      <c r="BY80" s="477">
        <v>4.8199999999999999E-5</v>
      </c>
      <c r="BZ80" s="477">
        <v>4.2199999999999999E-9</v>
      </c>
      <c r="CA80" s="477">
        <v>4.8000000000000001E-5</v>
      </c>
      <c r="CB80" s="477">
        <v>4.3599999999999998E-9</v>
      </c>
      <c r="CC80" s="477">
        <v>4.7599999999999998E-5</v>
      </c>
      <c r="CD80" s="477">
        <v>4.6600000000000003E-6</v>
      </c>
      <c r="CE80" s="477">
        <v>6.5700000000000003E-9</v>
      </c>
      <c r="CF80" s="477">
        <v>4.6600000000000003E-6</v>
      </c>
      <c r="CG80" s="477">
        <v>6.5000000000000003E-9</v>
      </c>
      <c r="CH80" s="477">
        <v>4.3200000000000001E-6</v>
      </c>
      <c r="CI80" s="477">
        <v>8.9299999999999999E-8</v>
      </c>
      <c r="CJ80" s="477">
        <v>2.3800000000000001E-9</v>
      </c>
      <c r="CK80" s="477">
        <v>9.1199999999999996E-8</v>
      </c>
      <c r="CL80" s="477">
        <v>2.4899999999999999E-9</v>
      </c>
      <c r="CM80" s="477">
        <v>4.6499999999999999E-8</v>
      </c>
      <c r="CN80" s="478">
        <v>45204.006249999999</v>
      </c>
      <c r="CO80" s="475">
        <v>1696489789</v>
      </c>
      <c r="CP80" s="475" t="s">
        <v>420</v>
      </c>
      <c r="CQ80" s="475" t="s">
        <v>416</v>
      </c>
      <c r="CR80" s="475" t="s">
        <v>415</v>
      </c>
      <c r="CS80" s="475">
        <v>2550</v>
      </c>
      <c r="CT80" s="475">
        <v>88.897540000000006</v>
      </c>
      <c r="CU80" s="475">
        <v>2.5600000000000002E-3</v>
      </c>
      <c r="CV80" s="475">
        <v>3</v>
      </c>
      <c r="CW80" s="477">
        <v>2.5799999999999999E-8</v>
      </c>
      <c r="CX80" s="477">
        <v>1.02E-7</v>
      </c>
      <c r="CY80" s="475">
        <v>3</v>
      </c>
      <c r="CZ80" s="475">
        <v>30</v>
      </c>
      <c r="DA80" s="477">
        <v>2.65E-7</v>
      </c>
      <c r="DB80" s="477">
        <v>6.13E-8</v>
      </c>
      <c r="DC80" s="475">
        <v>0.24054010000000001</v>
      </c>
      <c r="DD80" s="477">
        <v>5.91E-8</v>
      </c>
      <c r="DE80" s="477">
        <v>5.25E-8</v>
      </c>
      <c r="DF80" s="477">
        <v>4.6499999999999999E-8</v>
      </c>
      <c r="DG80" s="477">
        <v>2.84E-12</v>
      </c>
      <c r="DH80" s="477">
        <v>2.5299999999999999E-12</v>
      </c>
      <c r="DI80" s="477">
        <v>2.2400000000000001E-12</v>
      </c>
      <c r="DJ80" s="475">
        <v>-0.83954761499999997</v>
      </c>
      <c r="DK80" s="475">
        <v>-0.39796838899999998</v>
      </c>
      <c r="DL80" s="475">
        <v>-1.2989281E-2</v>
      </c>
      <c r="DM80" s="477">
        <v>-4.63E-10</v>
      </c>
      <c r="DN80" s="477">
        <v>-4.5E-10</v>
      </c>
      <c r="DO80" s="475">
        <v>3.4861780000000002E-2</v>
      </c>
      <c r="DP80" s="475">
        <v>-8.6466134480000001</v>
      </c>
      <c r="DQ80" s="475">
        <v>-5.9455065779999998</v>
      </c>
      <c r="DR80" s="475">
        <v>0.56186115800000003</v>
      </c>
      <c r="DS80" s="475">
        <v>0.27752072999999999</v>
      </c>
      <c r="DT80" s="476">
        <f>SQRT((0.0391*10^6)/(DR80-0.154))-273.15</f>
        <v>36.472280245331035</v>
      </c>
    </row>
    <row r="81" spans="1:126" s="471" customFormat="1" x14ac:dyDescent="0.2">
      <c r="A81" s="471">
        <v>2019</v>
      </c>
      <c r="B81" s="471" t="s">
        <v>464</v>
      </c>
      <c r="C81" s="471">
        <v>5365</v>
      </c>
      <c r="D81" s="471" t="s">
        <v>430</v>
      </c>
      <c r="E81" s="471">
        <v>1</v>
      </c>
      <c r="F81" s="471" t="s">
        <v>418</v>
      </c>
      <c r="G81" s="471">
        <v>-8.6120093250000007</v>
      </c>
      <c r="H81" s="471">
        <v>6.2459680000000002E-3</v>
      </c>
      <c r="I81" s="471">
        <v>30</v>
      </c>
      <c r="J81" s="473">
        <v>-6.4999999999999994E-5</v>
      </c>
      <c r="K81" s="471">
        <v>8.3846839999999999E-3</v>
      </c>
      <c r="L81" s="471">
        <v>0.63034581499999998</v>
      </c>
      <c r="M81" s="471">
        <v>-6.3946997430000003</v>
      </c>
      <c r="N81" s="471">
        <v>1.0206498E-2</v>
      </c>
      <c r="O81" s="471">
        <v>30</v>
      </c>
      <c r="P81" s="471">
        <v>-4.5521199999999998E-4</v>
      </c>
      <c r="Q81" s="471">
        <v>0.15416131899999999</v>
      </c>
      <c r="R81" s="471">
        <v>3.1857309E-2</v>
      </c>
      <c r="S81" s="471">
        <v>1.53365533</v>
      </c>
      <c r="T81" s="471">
        <v>5.9153519999999996E-3</v>
      </c>
      <c r="U81" s="471">
        <v>30</v>
      </c>
      <c r="V81" s="473">
        <v>-7.7299999999999995E-5</v>
      </c>
      <c r="W81" s="471">
        <v>1.3232348E-2</v>
      </c>
      <c r="X81" s="471">
        <v>0.544980574</v>
      </c>
      <c r="Y81" s="471">
        <v>1.0151479050000001</v>
      </c>
      <c r="Z81" s="471">
        <v>1.0272919E-2</v>
      </c>
      <c r="AA81" s="471">
        <v>30</v>
      </c>
      <c r="AB81" s="471">
        <v>-4.5829300000000003E-4</v>
      </c>
      <c r="AC81" s="471">
        <v>0.15424090800000001</v>
      </c>
      <c r="AD81" s="471">
        <v>3.1809235999999998E-2</v>
      </c>
      <c r="AE81" s="471">
        <v>2.3043654999999998</v>
      </c>
      <c r="AF81" s="471">
        <v>0.103286883</v>
      </c>
      <c r="AG81" s="471">
        <v>30</v>
      </c>
      <c r="AH81" s="471">
        <v>3.0776300000000001E-4</v>
      </c>
      <c r="AI81" s="471">
        <v>6.8808599999999997E-4</v>
      </c>
      <c r="AJ81" s="471">
        <v>0.89056153400000004</v>
      </c>
      <c r="AK81" s="471">
        <v>-0.27710212000000001</v>
      </c>
      <c r="AL81" s="471">
        <v>0.10347856699999999</v>
      </c>
      <c r="AM81" s="471">
        <v>30</v>
      </c>
      <c r="AN81" s="471">
        <v>8.3653199999999997E-4</v>
      </c>
      <c r="AO81" s="471">
        <v>5.0648400000000001E-3</v>
      </c>
      <c r="AP81" s="471">
        <v>0.70861809099999995</v>
      </c>
      <c r="AQ81" s="471">
        <v>1.9672831180000001</v>
      </c>
      <c r="AR81" s="471">
        <v>0.47249925300000001</v>
      </c>
      <c r="AS81" s="471">
        <v>30</v>
      </c>
      <c r="AT81" s="471">
        <v>3.4436328000000002E-2</v>
      </c>
      <c r="AU81" s="471">
        <v>0.41165474899999999</v>
      </c>
      <c r="AV81" s="471">
        <v>1.3282800000000001E-4</v>
      </c>
      <c r="AW81" s="471">
        <v>-6.3898020999999999E-2</v>
      </c>
      <c r="AX81" s="471">
        <v>0.47460251399999998</v>
      </c>
      <c r="AY81" s="471">
        <v>30</v>
      </c>
      <c r="AZ81" s="471">
        <v>3.5282264000000001E-2</v>
      </c>
      <c r="BA81" s="471">
        <v>0.42830636399999999</v>
      </c>
      <c r="BB81" s="473">
        <v>8.7299999999999994E-5</v>
      </c>
      <c r="BC81" s="471">
        <v>-13.116473020000001</v>
      </c>
      <c r="BD81" s="471">
        <v>9.4525803919999998</v>
      </c>
      <c r="BE81" s="471">
        <v>30</v>
      </c>
      <c r="BF81" s="471">
        <v>2.1168487E-2</v>
      </c>
      <c r="BG81" s="471">
        <v>3.8866999999999998E-4</v>
      </c>
      <c r="BH81" s="471">
        <v>0.91764281000000003</v>
      </c>
      <c r="BI81" s="471">
        <v>-16.690101030000001</v>
      </c>
      <c r="BJ81" s="471">
        <v>9.4117542220000008</v>
      </c>
      <c r="BK81" s="471">
        <v>30</v>
      </c>
      <c r="BL81" s="471">
        <v>2.2050401000000001E-2</v>
      </c>
      <c r="BM81" s="471">
        <v>4.2539599999999998E-4</v>
      </c>
      <c r="BN81" s="471">
        <v>0.91385324000000001</v>
      </c>
      <c r="BO81" s="471">
        <v>1.1831763E-2</v>
      </c>
      <c r="BP81" s="473">
        <v>3.2899999999999999E-7</v>
      </c>
      <c r="BQ81" s="471">
        <v>1.1813644999999999E-2</v>
      </c>
      <c r="BR81" s="473">
        <v>3.2000000000000001E-7</v>
      </c>
      <c r="BS81" s="471">
        <v>1.1867259E-2</v>
      </c>
      <c r="BT81" s="471">
        <v>4.2478189999999999E-3</v>
      </c>
      <c r="BU81" s="473">
        <v>1.4600000000000001E-7</v>
      </c>
      <c r="BV81" s="471">
        <v>4.2435110000000002E-3</v>
      </c>
      <c r="BW81" s="473">
        <v>1.2599999999999999E-7</v>
      </c>
      <c r="BX81" s="471">
        <v>4.1589080000000002E-3</v>
      </c>
      <c r="BY81" s="473">
        <v>4.8199999999999999E-5</v>
      </c>
      <c r="BZ81" s="473">
        <v>4.9499999999999997E-9</v>
      </c>
      <c r="CA81" s="473">
        <v>4.8099999999999997E-5</v>
      </c>
      <c r="CB81" s="473">
        <v>4.2999999999999996E-9</v>
      </c>
      <c r="CC81" s="473">
        <v>4.7599999999999998E-5</v>
      </c>
      <c r="CD81" s="473">
        <v>4.7199999999999997E-6</v>
      </c>
      <c r="CE81" s="473">
        <v>9.3200000000000001E-9</v>
      </c>
      <c r="CF81" s="473">
        <v>4.7099999999999998E-6</v>
      </c>
      <c r="CG81" s="473">
        <v>7.8000000000000004E-9</v>
      </c>
      <c r="CH81" s="473">
        <v>4.3200000000000001E-6</v>
      </c>
      <c r="CI81" s="473">
        <v>1.0700000000000001E-7</v>
      </c>
      <c r="CJ81" s="473">
        <v>3.1800000000000002E-9</v>
      </c>
      <c r="CK81" s="473">
        <v>1.08E-7</v>
      </c>
      <c r="CL81" s="473">
        <v>3.1500000000000001E-9</v>
      </c>
      <c r="CM81" s="473">
        <v>4.6900000000000003E-8</v>
      </c>
      <c r="CN81" s="474">
        <v>45204.886111111111</v>
      </c>
      <c r="CO81" s="471">
        <v>1696565795</v>
      </c>
      <c r="CP81" s="471" t="s">
        <v>420</v>
      </c>
      <c r="CQ81" s="471" t="s">
        <v>416</v>
      </c>
      <c r="CR81" s="471" t="s">
        <v>415</v>
      </c>
      <c r="CS81" s="471">
        <v>2531</v>
      </c>
      <c r="CT81" s="471">
        <v>59.051360000000003</v>
      </c>
      <c r="CU81" s="471">
        <v>2.6800000000000001E-3</v>
      </c>
      <c r="CV81" s="471">
        <v>3</v>
      </c>
      <c r="CW81" s="473">
        <v>2.7599999999999999E-8</v>
      </c>
      <c r="CX81" s="473">
        <v>1.05E-7</v>
      </c>
      <c r="CY81" s="471">
        <v>3</v>
      </c>
      <c r="CZ81" s="471">
        <v>30</v>
      </c>
      <c r="DA81" s="473">
        <v>2.65E-7</v>
      </c>
      <c r="DB81" s="473">
        <v>3.8799999999999997E-8</v>
      </c>
      <c r="DC81" s="471">
        <v>0.1950192</v>
      </c>
      <c r="DD81" s="473">
        <v>3.8000000000000003E-8</v>
      </c>
      <c r="DE81" s="473">
        <v>3.4100000000000001E-8</v>
      </c>
      <c r="DF81" s="473">
        <v>3.0500000000000002E-8</v>
      </c>
      <c r="DG81" s="473">
        <v>1.8300000000000001E-12</v>
      </c>
      <c r="DH81" s="473">
        <v>1.6400000000000001E-12</v>
      </c>
      <c r="DI81" s="473">
        <v>1.47E-12</v>
      </c>
      <c r="DJ81" s="471">
        <v>-1.83523978</v>
      </c>
      <c r="DK81" s="471">
        <v>-1.002023849</v>
      </c>
      <c r="DL81" s="471">
        <v>-0.188496673</v>
      </c>
      <c r="DM81" s="473">
        <v>-2.7599999999999998E-10</v>
      </c>
      <c r="DN81" s="473">
        <v>-2.5799999999999999E-10</v>
      </c>
      <c r="DO81" s="471">
        <v>2.3331237000000001E-2</v>
      </c>
      <c r="DP81" s="471">
        <v>-8.9686861029999996</v>
      </c>
      <c r="DQ81" s="471">
        <v>-5.7750816949999999</v>
      </c>
      <c r="DR81" s="471">
        <v>0.61468502400000002</v>
      </c>
      <c r="DS81" s="471">
        <v>0.485250087</v>
      </c>
      <c r="DT81" s="472">
        <f>SQRT((0.0391*10^6)/(DR81-0.154))-273.15</f>
        <v>18.180753095989985</v>
      </c>
    </row>
    <row r="82" spans="1:126" s="471" customFormat="1" x14ac:dyDescent="0.2">
      <c r="A82" s="471">
        <v>2040</v>
      </c>
      <c r="B82" s="471" t="s">
        <v>463</v>
      </c>
      <c r="C82" s="471">
        <v>5365</v>
      </c>
      <c r="D82" s="471" t="s">
        <v>430</v>
      </c>
      <c r="E82" s="471">
        <v>1</v>
      </c>
      <c r="F82" s="471" t="s">
        <v>418</v>
      </c>
      <c r="G82" s="471">
        <v>-8.6250558749999993</v>
      </c>
      <c r="H82" s="471">
        <v>5.2828759999999997E-3</v>
      </c>
      <c r="I82" s="471">
        <v>30</v>
      </c>
      <c r="J82" s="471">
        <v>-1.16086E-4</v>
      </c>
      <c r="K82" s="471">
        <v>3.7421459999999997E-2</v>
      </c>
      <c r="L82" s="471">
        <v>0.30572062100000003</v>
      </c>
      <c r="M82" s="471">
        <v>-6.338017625</v>
      </c>
      <c r="N82" s="471">
        <v>1.6715644000000002E-2</v>
      </c>
      <c r="O82" s="471">
        <v>30</v>
      </c>
      <c r="P82" s="471">
        <v>-1.6110250000000001E-3</v>
      </c>
      <c r="Q82" s="471">
        <v>0.71987961</v>
      </c>
      <c r="R82" s="473">
        <v>3.1899999999999999E-9</v>
      </c>
      <c r="S82" s="471">
        <v>1.5233372430000001</v>
      </c>
      <c r="T82" s="471">
        <v>5.0695990000000002E-3</v>
      </c>
      <c r="U82" s="471">
        <v>30</v>
      </c>
      <c r="V82" s="471">
        <v>-1.6614000000000001E-4</v>
      </c>
      <c r="W82" s="471">
        <v>8.3234644999999996E-2</v>
      </c>
      <c r="X82" s="471">
        <v>0.12206977500000001</v>
      </c>
      <c r="Y82" s="471">
        <v>1.072169055</v>
      </c>
      <c r="Z82" s="471">
        <v>1.682471E-2</v>
      </c>
      <c r="AA82" s="471">
        <v>30</v>
      </c>
      <c r="AB82" s="471">
        <v>-1.6216869999999999E-3</v>
      </c>
      <c r="AC82" s="471">
        <v>0.72001362199999996</v>
      </c>
      <c r="AD82" s="473">
        <v>3.1599999999999998E-9</v>
      </c>
      <c r="AE82" s="471">
        <v>2.3582282800000001</v>
      </c>
      <c r="AF82" s="471">
        <v>8.2093932999999994E-2</v>
      </c>
      <c r="AG82" s="471">
        <v>30</v>
      </c>
      <c r="AH82" s="471">
        <v>-2.145985E-3</v>
      </c>
      <c r="AI82" s="471">
        <v>5.2958150000000002E-2</v>
      </c>
      <c r="AJ82" s="471">
        <v>0.22117977899999999</v>
      </c>
      <c r="AK82" s="471">
        <v>-0.26873003099999998</v>
      </c>
      <c r="AL82" s="471">
        <v>7.9487155000000004E-2</v>
      </c>
      <c r="AM82" s="471">
        <v>30</v>
      </c>
      <c r="AN82" s="471">
        <v>-3.7714999999999998E-4</v>
      </c>
      <c r="AO82" s="471">
        <v>1.7447579999999999E-3</v>
      </c>
      <c r="AP82" s="471">
        <v>0.82652594700000004</v>
      </c>
      <c r="AQ82" s="471">
        <v>1.9355301620000001</v>
      </c>
      <c r="AR82" s="471">
        <v>0.35016673399999998</v>
      </c>
      <c r="AS82" s="471">
        <v>30</v>
      </c>
      <c r="AT82" s="471">
        <v>1.1469643999999999E-2</v>
      </c>
      <c r="AU82" s="471">
        <v>8.3147994000000003E-2</v>
      </c>
      <c r="AV82" s="471">
        <v>0.12227299599999999</v>
      </c>
      <c r="AW82" s="471">
        <v>-0.209489487</v>
      </c>
      <c r="AX82" s="471">
        <v>0.362447256</v>
      </c>
      <c r="AY82" s="471">
        <v>30</v>
      </c>
      <c r="AZ82" s="471">
        <v>1.4684525E-2</v>
      </c>
      <c r="BA82" s="471">
        <v>0.12721311199999999</v>
      </c>
      <c r="BB82" s="471">
        <v>5.3024553000000002E-2</v>
      </c>
      <c r="BC82" s="471">
        <v>-15.834656989999999</v>
      </c>
      <c r="BD82" s="471">
        <v>8.7376064430000007</v>
      </c>
      <c r="BE82" s="471">
        <v>30</v>
      </c>
      <c r="BF82" s="471">
        <v>8.8701709999999996E-3</v>
      </c>
      <c r="BG82" s="473">
        <v>7.9900000000000004E-5</v>
      </c>
      <c r="BH82" s="471">
        <v>0.96261629699999995</v>
      </c>
      <c r="BI82" s="471">
        <v>-19.49730491</v>
      </c>
      <c r="BJ82" s="471">
        <v>8.7101401749999994</v>
      </c>
      <c r="BK82" s="471">
        <v>30</v>
      </c>
      <c r="BL82" s="471">
        <v>1.2137749999999999E-2</v>
      </c>
      <c r="BM82" s="471">
        <v>1.5049700000000001E-4</v>
      </c>
      <c r="BN82" s="471">
        <v>0.94869933399999995</v>
      </c>
      <c r="BO82" s="471">
        <v>1.1831968E-2</v>
      </c>
      <c r="BP82" s="473">
        <v>3.7500000000000001E-7</v>
      </c>
      <c r="BQ82" s="471">
        <v>1.1813972000000001E-2</v>
      </c>
      <c r="BR82" s="473">
        <v>3.5699999999999998E-7</v>
      </c>
      <c r="BS82" s="471">
        <v>1.1867137E-2</v>
      </c>
      <c r="BT82" s="471">
        <v>4.2484080000000004E-3</v>
      </c>
      <c r="BU82" s="473">
        <v>2.5400000000000002E-7</v>
      </c>
      <c r="BV82" s="471">
        <v>4.2438570000000002E-3</v>
      </c>
      <c r="BW82" s="473">
        <v>1.9299999999999999E-7</v>
      </c>
      <c r="BX82" s="471">
        <v>4.1591450000000004E-3</v>
      </c>
      <c r="BY82" s="473">
        <v>4.8300000000000002E-5</v>
      </c>
      <c r="BZ82" s="473">
        <v>4.1899999999999998E-9</v>
      </c>
      <c r="CA82" s="473">
        <v>4.8199999999999999E-5</v>
      </c>
      <c r="CB82" s="473">
        <v>4.4800000000000002E-9</v>
      </c>
      <c r="CC82" s="473">
        <v>4.7599999999999998E-5</v>
      </c>
      <c r="CD82" s="473">
        <v>4.7099999999999998E-6</v>
      </c>
      <c r="CE82" s="473">
        <v>8.4499999999999996E-9</v>
      </c>
      <c r="CF82" s="473">
        <v>4.6999999999999999E-6</v>
      </c>
      <c r="CG82" s="473">
        <v>7.8899999999999998E-9</v>
      </c>
      <c r="CH82" s="473">
        <v>4.3200000000000001E-6</v>
      </c>
      <c r="CI82" s="473">
        <v>9.9999999999999995E-8</v>
      </c>
      <c r="CJ82" s="473">
        <v>3.1800000000000002E-9</v>
      </c>
      <c r="CK82" s="473">
        <v>1.02E-7</v>
      </c>
      <c r="CL82" s="473">
        <v>3.17E-9</v>
      </c>
      <c r="CM82" s="473">
        <v>4.6800000000000002E-8</v>
      </c>
      <c r="CN82" s="474">
        <v>45206.197916666664</v>
      </c>
      <c r="CO82" s="471">
        <v>1696679127</v>
      </c>
      <c r="CP82" s="471" t="s">
        <v>422</v>
      </c>
      <c r="CQ82" s="471" t="s">
        <v>416</v>
      </c>
      <c r="CR82" s="471" t="s">
        <v>415</v>
      </c>
      <c r="CS82" s="471">
        <v>2510</v>
      </c>
      <c r="CT82" s="471">
        <v>66.985919999999993</v>
      </c>
      <c r="CU82" s="471">
        <v>2.6199999999999999E-3</v>
      </c>
      <c r="CV82" s="471">
        <v>3</v>
      </c>
      <c r="CW82" s="473">
        <v>2.5399999999999999E-8</v>
      </c>
      <c r="CX82" s="473">
        <v>9.9E-8</v>
      </c>
      <c r="CY82" s="471">
        <v>3</v>
      </c>
      <c r="CZ82" s="471">
        <v>30</v>
      </c>
      <c r="DA82" s="473">
        <v>2.65E-7</v>
      </c>
      <c r="DB82" s="473">
        <v>4.7199999999999999E-8</v>
      </c>
      <c r="DC82" s="471">
        <v>0.1074121</v>
      </c>
      <c r="DD82" s="473">
        <v>4.5400000000000003E-8</v>
      </c>
      <c r="DE82" s="473">
        <v>4.0499999999999999E-8</v>
      </c>
      <c r="DF82" s="473">
        <v>3.5899999999999997E-8</v>
      </c>
      <c r="DG82" s="473">
        <v>2.1999999999999999E-12</v>
      </c>
      <c r="DH82" s="473">
        <v>1.9600000000000001E-12</v>
      </c>
      <c r="DI82" s="473">
        <v>1.7300000000000001E-12</v>
      </c>
      <c r="DJ82" s="471">
        <v>-1.7249441619999999</v>
      </c>
      <c r="DK82" s="471">
        <v>-0.96639442499999995</v>
      </c>
      <c r="DL82" s="471">
        <v>-0.21750396899999999</v>
      </c>
      <c r="DM82" s="473">
        <v>-3.4100000000000001E-10</v>
      </c>
      <c r="DN82" s="473">
        <v>-3.1899999999999998E-10</v>
      </c>
      <c r="DO82" s="471">
        <v>2.6687618E-2</v>
      </c>
      <c r="DP82" s="471">
        <v>-8.9817708340000006</v>
      </c>
      <c r="DQ82" s="471">
        <v>-5.7185750049999999</v>
      </c>
      <c r="DR82" s="471">
        <v>0.62345914800000002</v>
      </c>
      <c r="DS82" s="471">
        <v>0.235174138</v>
      </c>
      <c r="DT82" s="472">
        <f>SQRT((0.0391*10^6)/(DR82-0.154))-273.15</f>
        <v>15.445447245090691</v>
      </c>
    </row>
    <row r="83" spans="1:126" x14ac:dyDescent="0.2">
      <c r="R83" s="423"/>
      <c r="AD83" s="423"/>
      <c r="BG83" s="423"/>
      <c r="BP83" s="423"/>
      <c r="BR83" s="423"/>
      <c r="BU83" s="423"/>
      <c r="BW83" s="423"/>
      <c r="BY83" s="423"/>
      <c r="BZ83" s="423"/>
      <c r="CA83" s="423"/>
      <c r="CB83" s="423"/>
      <c r="CC83" s="423"/>
      <c r="CD83" s="423"/>
      <c r="CE83" s="423"/>
      <c r="CF83" s="423"/>
      <c r="CG83" s="423"/>
      <c r="CH83" s="423"/>
      <c r="CI83" s="423"/>
      <c r="CJ83" s="423"/>
      <c r="CK83" s="423"/>
      <c r="CL83" s="423"/>
      <c r="CM83" s="423"/>
      <c r="CN83" s="424"/>
      <c r="CW83" s="423"/>
      <c r="CX83" s="423"/>
      <c r="DA83" s="423"/>
      <c r="DB83" s="423"/>
      <c r="DD83" s="423"/>
      <c r="DE83" s="423"/>
      <c r="DF83" s="423"/>
      <c r="DG83" s="423"/>
      <c r="DH83" s="423"/>
      <c r="DI83" s="423"/>
      <c r="DM83" s="423"/>
      <c r="DN83" s="423"/>
      <c r="DO83" s="425" t="s">
        <v>437</v>
      </c>
      <c r="DP83" s="425">
        <f>AVERAGE(DP80:DP82)</f>
        <v>-8.865690128333334</v>
      </c>
      <c r="DQ83" s="425">
        <f>AVERAGE(DQ80:DQ82)</f>
        <v>-5.8130544260000008</v>
      </c>
      <c r="DR83" s="425">
        <f>AVERAGE(DR80:DR82)</f>
        <v>0.60000177666666665</v>
      </c>
      <c r="DS83" s="425">
        <f>AVERAGE(DS80:DS82)</f>
        <v>0.33264831833333336</v>
      </c>
      <c r="DT83" s="440">
        <f>AVERAGE(DT80:DT82)</f>
        <v>23.36616019547057</v>
      </c>
    </row>
    <row r="84" spans="1:126" x14ac:dyDescent="0.2">
      <c r="R84" s="423"/>
      <c r="AD84" s="423"/>
      <c r="BG84" s="423"/>
      <c r="BP84" s="423"/>
      <c r="BR84" s="423"/>
      <c r="BU84" s="423"/>
      <c r="BW84" s="423"/>
      <c r="BY84" s="423"/>
      <c r="BZ84" s="423"/>
      <c r="CA84" s="423"/>
      <c r="CB84" s="423"/>
      <c r="CC84" s="423"/>
      <c r="CD84" s="423"/>
      <c r="CE84" s="423"/>
      <c r="CF84" s="423"/>
      <c r="CG84" s="423"/>
      <c r="CH84" s="423"/>
      <c r="CI84" s="423"/>
      <c r="CJ84" s="423"/>
      <c r="CK84" s="423"/>
      <c r="CL84" s="423"/>
      <c r="CM84" s="423"/>
      <c r="CN84" s="424"/>
      <c r="CW84" s="423"/>
      <c r="CX84" s="423"/>
      <c r="DA84" s="423"/>
      <c r="DB84" s="423"/>
      <c r="DD84" s="423"/>
      <c r="DE84" s="423"/>
      <c r="DF84" s="423"/>
      <c r="DG84" s="423"/>
      <c r="DH84" s="423"/>
      <c r="DI84" s="423"/>
      <c r="DM84" s="423"/>
      <c r="DN84" s="423" t="s">
        <v>448</v>
      </c>
      <c r="DO84" s="425" t="s">
        <v>394</v>
      </c>
      <c r="DP84" s="425">
        <f>STDEV(DP80:DP82)</f>
        <v>0.18983873800081147</v>
      </c>
      <c r="DQ84" s="425">
        <f>STDEV(DQ80:DQ82)</f>
        <v>0.11813522307407871</v>
      </c>
      <c r="DR84" s="425">
        <f>STDEV(DR80:DR82)</f>
        <v>3.3320810422300735E-2</v>
      </c>
      <c r="DS84" s="425">
        <f>STDEV(DS80:DS82)</f>
        <v>0.13384238235196563</v>
      </c>
      <c r="DT84" s="425">
        <f>STDEV(DT80:DT82)</f>
        <v>11.432334039709772</v>
      </c>
    </row>
    <row r="85" spans="1:126" x14ac:dyDescent="0.2">
      <c r="R85" s="423"/>
      <c r="AD85" s="423"/>
      <c r="BG85" s="423"/>
      <c r="BP85" s="423"/>
      <c r="BR85" s="423"/>
      <c r="BU85" s="423"/>
      <c r="BW85" s="423"/>
      <c r="BY85" s="423"/>
      <c r="BZ85" s="423"/>
      <c r="CA85" s="423"/>
      <c r="CB85" s="423"/>
      <c r="CC85" s="423"/>
      <c r="CD85" s="423"/>
      <c r="CE85" s="423"/>
      <c r="CF85" s="423"/>
      <c r="CG85" s="423"/>
      <c r="CH85" s="423"/>
      <c r="CI85" s="423"/>
      <c r="CJ85" s="423"/>
      <c r="CK85" s="423"/>
      <c r="CL85" s="423"/>
      <c r="CM85" s="423"/>
      <c r="CN85" s="424"/>
      <c r="CW85" s="423"/>
      <c r="CX85" s="423"/>
      <c r="DA85" s="423"/>
      <c r="DB85" s="423"/>
      <c r="DD85" s="423"/>
      <c r="DE85" s="423"/>
      <c r="DF85" s="423"/>
      <c r="DG85" s="423"/>
      <c r="DH85" s="423"/>
      <c r="DI85" s="423"/>
      <c r="DM85" s="423"/>
      <c r="DN85" s="423"/>
      <c r="DO85" s="425" t="s">
        <v>436</v>
      </c>
      <c r="DP85" s="425">
        <f>DP84/SQRT(4)</f>
        <v>9.4919369000405734E-2</v>
      </c>
      <c r="DQ85" s="425">
        <f>DQ84/SQRT(4)</f>
        <v>5.9067611537039356E-2</v>
      </c>
      <c r="DR85" s="425">
        <f>DR84/SQRT(4)</f>
        <v>1.6660405211150368E-2</v>
      </c>
      <c r="DS85" s="425">
        <f>DS84/SQRT(4)</f>
        <v>6.6921191175982817E-2</v>
      </c>
      <c r="DT85" s="425">
        <f>DT84/SQRT(4)</f>
        <v>5.7161670198548862</v>
      </c>
    </row>
    <row r="86" spans="1:126" x14ac:dyDescent="0.2">
      <c r="R86" s="423"/>
      <c r="AD86" s="423"/>
      <c r="BG86" s="423"/>
      <c r="BP86" s="423"/>
      <c r="BR86" s="423"/>
      <c r="BU86" s="423"/>
      <c r="BW86" s="423"/>
      <c r="BY86" s="423"/>
      <c r="BZ86" s="423"/>
      <c r="CA86" s="423"/>
      <c r="CB86" s="423"/>
      <c r="CC86" s="423"/>
      <c r="CD86" s="423"/>
      <c r="CE86" s="423"/>
      <c r="CF86" s="423"/>
      <c r="CG86" s="423"/>
      <c r="CH86" s="423"/>
      <c r="CI86" s="423"/>
      <c r="CJ86" s="423"/>
      <c r="CK86" s="423"/>
      <c r="CL86" s="423"/>
      <c r="CM86" s="423"/>
      <c r="CN86" s="424"/>
      <c r="CW86" s="423"/>
      <c r="CX86" s="423"/>
      <c r="DA86" s="423"/>
      <c r="DB86" s="423"/>
      <c r="DD86" s="423"/>
      <c r="DE86" s="423"/>
      <c r="DF86" s="423"/>
      <c r="DG86" s="423"/>
      <c r="DH86" s="423"/>
      <c r="DI86" s="423"/>
      <c r="DM86" s="423"/>
      <c r="DN86" s="423"/>
      <c r="DT86" s="440"/>
    </row>
    <row r="87" spans="1:126" x14ac:dyDescent="0.2">
      <c r="R87" s="423"/>
      <c r="AD87" s="423"/>
      <c r="BG87" s="423"/>
      <c r="BP87" s="423"/>
      <c r="BR87" s="423"/>
      <c r="BU87" s="423"/>
      <c r="BW87" s="423"/>
      <c r="BY87" s="423"/>
      <c r="BZ87" s="423"/>
      <c r="CA87" s="423"/>
      <c r="CB87" s="423"/>
      <c r="CC87" s="423"/>
      <c r="CD87" s="423"/>
      <c r="CE87" s="423"/>
      <c r="CF87" s="423"/>
      <c r="CG87" s="423"/>
      <c r="CH87" s="423"/>
      <c r="CI87" s="423"/>
      <c r="CJ87" s="423"/>
      <c r="CK87" s="423"/>
      <c r="CL87" s="423"/>
      <c r="CM87" s="423"/>
      <c r="CN87" s="424"/>
      <c r="CW87" s="423"/>
      <c r="CX87" s="423"/>
      <c r="DA87" s="423"/>
      <c r="DB87" s="423"/>
      <c r="DD87" s="423"/>
      <c r="DE87" s="423"/>
      <c r="DF87" s="423"/>
      <c r="DG87" s="423"/>
      <c r="DH87" s="423"/>
      <c r="DI87" s="423"/>
      <c r="DM87" s="423"/>
      <c r="DN87" s="423"/>
      <c r="DO87" s="425" t="s">
        <v>437</v>
      </c>
      <c r="DP87" s="425">
        <f>AVERAGE(DP81:DP82)</f>
        <v>-8.9752284684999992</v>
      </c>
      <c r="DQ87" s="425">
        <f>AVERAGE(DQ81:DQ82)</f>
        <v>-5.7468283499999995</v>
      </c>
      <c r="DR87" s="425">
        <f>AVERAGE(DR81:DR82)</f>
        <v>0.61907208600000008</v>
      </c>
      <c r="DS87" s="425">
        <f>AVERAGE(DS81:DS82)</f>
        <v>0.36021211250000001</v>
      </c>
      <c r="DT87" s="440">
        <f>AVERAGE(DT81:DT82)</f>
        <v>16.813100170540338</v>
      </c>
    </row>
    <row r="88" spans="1:126" ht="34" x14ac:dyDescent="0.2">
      <c r="R88" s="423"/>
      <c r="AD88" s="423"/>
      <c r="BP88" s="423"/>
      <c r="BR88" s="423"/>
      <c r="BU88" s="423"/>
      <c r="BW88" s="423"/>
      <c r="BY88" s="423"/>
      <c r="BZ88" s="423"/>
      <c r="CA88" s="423"/>
      <c r="CB88" s="423"/>
      <c r="CC88" s="423"/>
      <c r="CD88" s="423"/>
      <c r="CE88" s="423"/>
      <c r="CF88" s="423"/>
      <c r="CG88" s="423"/>
      <c r="CH88" s="423"/>
      <c r="CI88" s="423"/>
      <c r="CJ88" s="423"/>
      <c r="CK88" s="423"/>
      <c r="CL88" s="423"/>
      <c r="CM88" s="423"/>
      <c r="CN88" s="424"/>
      <c r="CW88" s="423"/>
      <c r="CX88" s="423"/>
      <c r="DA88" s="423"/>
      <c r="DB88" s="423"/>
      <c r="DD88" s="423"/>
      <c r="DE88" s="423"/>
      <c r="DF88" s="423"/>
      <c r="DG88" s="423"/>
      <c r="DH88" s="423"/>
      <c r="DI88" s="423"/>
      <c r="DM88" s="423"/>
      <c r="DN88" s="422" t="s">
        <v>447</v>
      </c>
      <c r="DO88" s="425" t="s">
        <v>394</v>
      </c>
      <c r="DP88" s="425">
        <f>STDEV(DP81:DP82)</f>
        <v>9.2523020201025919E-3</v>
      </c>
      <c r="DQ88" s="425">
        <f>STDEV(DQ81:DQ82)</f>
        <v>3.9956263681406048E-2</v>
      </c>
      <c r="DR88" s="425">
        <f>STDEV(DR81:DR82)</f>
        <v>6.204242579371631E-3</v>
      </c>
      <c r="DS88" s="425">
        <f>STDEV(DS81:DS82)</f>
        <v>0.1768303993495611</v>
      </c>
      <c r="DT88" s="425">
        <f>STDEV(DT81:DT82)</f>
        <v>1.9341533157901307</v>
      </c>
      <c r="DV88" s="445" t="s">
        <v>452</v>
      </c>
    </row>
    <row r="89" spans="1:126" x14ac:dyDescent="0.2">
      <c r="R89" s="423"/>
      <c r="AD89" s="423"/>
      <c r="BP89" s="423"/>
      <c r="BR89" s="423"/>
      <c r="BU89" s="423"/>
      <c r="BW89" s="423"/>
      <c r="BY89" s="423"/>
      <c r="BZ89" s="423"/>
      <c r="CA89" s="423"/>
      <c r="CB89" s="423"/>
      <c r="CC89" s="423"/>
      <c r="CD89" s="423"/>
      <c r="CE89" s="423"/>
      <c r="CF89" s="423"/>
      <c r="CG89" s="423"/>
      <c r="CH89" s="423"/>
      <c r="CI89" s="423"/>
      <c r="CJ89" s="423"/>
      <c r="CK89" s="423"/>
      <c r="CL89" s="423"/>
      <c r="CM89" s="423"/>
      <c r="CN89" s="424"/>
      <c r="CW89" s="423"/>
      <c r="CX89" s="423"/>
      <c r="DA89" s="423"/>
      <c r="DB89" s="423"/>
      <c r="DD89" s="423"/>
      <c r="DE89" s="423"/>
      <c r="DF89" s="423"/>
      <c r="DG89" s="423"/>
      <c r="DH89" s="423"/>
      <c r="DI89" s="423"/>
      <c r="DM89" s="423"/>
      <c r="DN89" s="423"/>
      <c r="DO89" s="425" t="s">
        <v>436</v>
      </c>
      <c r="DP89" s="425">
        <f>DP88/(SQRT(4))</f>
        <v>4.626151010051296E-3</v>
      </c>
      <c r="DQ89" s="425">
        <f>DQ88/(SQRT(4))</f>
        <v>1.9978131840703024E-2</v>
      </c>
      <c r="DR89" s="425">
        <f>DR88/(SQRT(4))</f>
        <v>3.1021212896858155E-3</v>
      </c>
      <c r="DS89" s="425">
        <f>DS88/(SQRT(4))</f>
        <v>8.8415199674780551E-2</v>
      </c>
      <c r="DT89" s="425">
        <f>DT88/(SQRT(4))</f>
        <v>0.96707665789506536</v>
      </c>
    </row>
    <row r="90" spans="1:126" x14ac:dyDescent="0.2">
      <c r="R90" s="423"/>
      <c r="AD90" s="423"/>
      <c r="BP90" s="423"/>
      <c r="BR90" s="423"/>
      <c r="BU90" s="423"/>
      <c r="BW90" s="423"/>
      <c r="BY90" s="423"/>
      <c r="BZ90" s="423"/>
      <c r="CA90" s="423"/>
      <c r="CB90" s="423"/>
      <c r="CC90" s="423"/>
      <c r="CD90" s="423"/>
      <c r="CE90" s="423"/>
      <c r="CF90" s="423"/>
      <c r="CG90" s="423"/>
      <c r="CH90" s="423"/>
      <c r="CI90" s="423"/>
      <c r="CJ90" s="423"/>
      <c r="CK90" s="423"/>
      <c r="CL90" s="423"/>
      <c r="CM90" s="423"/>
      <c r="CN90" s="424"/>
      <c r="CW90" s="423"/>
      <c r="CX90" s="423"/>
      <c r="DA90" s="423"/>
      <c r="DB90" s="423"/>
      <c r="DD90" s="423"/>
      <c r="DE90" s="423"/>
      <c r="DF90" s="423"/>
      <c r="DG90" s="423"/>
      <c r="DH90" s="423"/>
      <c r="DI90" s="423"/>
      <c r="DM90" s="423"/>
      <c r="DN90" s="423"/>
      <c r="DT90" s="427"/>
    </row>
    <row r="91" spans="1:126" s="450" customFormat="1" x14ac:dyDescent="0.2">
      <c r="A91" s="450">
        <v>2007</v>
      </c>
      <c r="B91" s="450" t="s">
        <v>462</v>
      </c>
      <c r="C91" s="450">
        <v>6690</v>
      </c>
      <c r="D91" s="450" t="s">
        <v>430</v>
      </c>
      <c r="E91" s="450">
        <v>1</v>
      </c>
      <c r="F91" s="450" t="s">
        <v>418</v>
      </c>
      <c r="G91" s="450">
        <v>-5.3164777729999999</v>
      </c>
      <c r="H91" s="450">
        <v>7.1612189999999999E-3</v>
      </c>
      <c r="I91" s="450">
        <v>29</v>
      </c>
      <c r="J91" s="450">
        <v>-2.0249800000000001E-4</v>
      </c>
      <c r="K91" s="450">
        <v>6.3997009999999993E-2</v>
      </c>
      <c r="L91" s="450">
        <v>0.18548574500000001</v>
      </c>
      <c r="M91" s="450">
        <v>-6.234284165</v>
      </c>
      <c r="N91" s="450">
        <v>1.6493595E-2</v>
      </c>
      <c r="O91" s="450">
        <v>30</v>
      </c>
      <c r="P91" s="450">
        <v>-1.5567109999999999E-3</v>
      </c>
      <c r="Q91" s="450">
        <v>0.69037780400000004</v>
      </c>
      <c r="R91" s="452">
        <v>1.3200000000000001E-8</v>
      </c>
      <c r="S91" s="450">
        <v>4.6487207069999998</v>
      </c>
      <c r="T91" s="450">
        <v>6.9146490000000001E-3</v>
      </c>
      <c r="U91" s="450">
        <v>29</v>
      </c>
      <c r="V91" s="450">
        <v>-2.4635100000000001E-4</v>
      </c>
      <c r="W91" s="450">
        <v>0.101592235</v>
      </c>
      <c r="X91" s="450">
        <v>9.1946482999999996E-2</v>
      </c>
      <c r="Y91" s="450">
        <v>1.1835522469999999</v>
      </c>
      <c r="Z91" s="450">
        <v>1.6605262999999999E-2</v>
      </c>
      <c r="AA91" s="450">
        <v>30</v>
      </c>
      <c r="AB91" s="450">
        <v>-1.567131E-3</v>
      </c>
      <c r="AC91" s="450">
        <v>0.69027257399999997</v>
      </c>
      <c r="AD91" s="452">
        <v>1.33E-8</v>
      </c>
      <c r="AE91" s="450">
        <v>5.7193459009999996</v>
      </c>
      <c r="AF91" s="450">
        <v>0.11448649499999999</v>
      </c>
      <c r="AG91" s="450">
        <v>30</v>
      </c>
      <c r="AH91" s="450">
        <v>-3.0574579999999999E-3</v>
      </c>
      <c r="AI91" s="450">
        <v>5.5273136E-2</v>
      </c>
      <c r="AJ91" s="450">
        <v>0.21107655</v>
      </c>
      <c r="AK91" s="450">
        <v>-0.24671861</v>
      </c>
      <c r="AL91" s="450">
        <v>0.11321106</v>
      </c>
      <c r="AM91" s="450">
        <v>30</v>
      </c>
      <c r="AN91" s="450">
        <v>-1.2849300000000001E-3</v>
      </c>
      <c r="AO91" s="450">
        <v>9.9835089999999998E-3</v>
      </c>
      <c r="AP91" s="450">
        <v>0.59935094499999997</v>
      </c>
      <c r="AQ91" s="450">
        <v>2.422843651</v>
      </c>
      <c r="AR91" s="450">
        <v>0.442663851</v>
      </c>
      <c r="AS91" s="450">
        <v>30</v>
      </c>
      <c r="AT91" s="450">
        <v>3.1687544999999998E-2</v>
      </c>
      <c r="AU91" s="450">
        <v>0.397128235</v>
      </c>
      <c r="AV91" s="450">
        <v>1.8981400000000001E-4</v>
      </c>
      <c r="AW91" s="450">
        <v>5.4262187000000003E-2</v>
      </c>
      <c r="AX91" s="450">
        <v>0.46357811900000001</v>
      </c>
      <c r="AY91" s="450">
        <v>30</v>
      </c>
      <c r="AZ91" s="450">
        <v>3.4743708999999998E-2</v>
      </c>
      <c r="BA91" s="450">
        <v>0.43531957100000002</v>
      </c>
      <c r="BB91" s="452">
        <v>7.2999999999999999E-5</v>
      </c>
      <c r="BC91" s="450">
        <v>0.71588275599999995</v>
      </c>
      <c r="BD91" s="450">
        <v>10.02564694</v>
      </c>
      <c r="BE91" s="450">
        <v>30</v>
      </c>
      <c r="BF91" s="450">
        <v>-0.26352278299999998</v>
      </c>
      <c r="BG91" s="450">
        <v>5.3544297999999997E-2</v>
      </c>
      <c r="BH91" s="450">
        <v>0.218570559</v>
      </c>
      <c r="BI91" s="450">
        <v>-6.5332941030000002</v>
      </c>
      <c r="BJ91" s="450">
        <v>9.9437375279999998</v>
      </c>
      <c r="BK91" s="450">
        <v>30</v>
      </c>
      <c r="BL91" s="450">
        <v>-0.25833811299999998</v>
      </c>
      <c r="BM91" s="450">
        <v>5.2309355000000002E-2</v>
      </c>
      <c r="BN91" s="450">
        <v>0.22410949699999999</v>
      </c>
      <c r="BO91" s="450">
        <v>1.1868221E-2</v>
      </c>
      <c r="BP91" s="452">
        <v>2.5699999999999999E-7</v>
      </c>
      <c r="BQ91" s="450">
        <v>1.1813292E-2</v>
      </c>
      <c r="BR91" s="452">
        <v>2.1500000000000001E-7</v>
      </c>
      <c r="BS91" s="450">
        <v>1.1904181999999999E-2</v>
      </c>
      <c r="BT91" s="450">
        <v>4.2480340000000004E-3</v>
      </c>
      <c r="BU91" s="452">
        <v>2.53E-7</v>
      </c>
      <c r="BV91" s="450">
        <v>4.243012E-3</v>
      </c>
      <c r="BW91" s="452">
        <v>1.9299999999999999E-7</v>
      </c>
      <c r="BX91" s="450">
        <v>4.1596080000000004E-3</v>
      </c>
      <c r="BY91" s="452">
        <v>4.8300000000000002E-5</v>
      </c>
      <c r="BZ91" s="452">
        <v>3.2500000000000002E-9</v>
      </c>
      <c r="CA91" s="452">
        <v>4.8099999999999997E-5</v>
      </c>
      <c r="CB91" s="452">
        <v>3.3099999999999999E-9</v>
      </c>
      <c r="CC91" s="452">
        <v>4.7800000000000003E-5</v>
      </c>
      <c r="CD91" s="452">
        <v>4.7299999999999996E-6</v>
      </c>
      <c r="CE91" s="452">
        <v>1.02E-8</v>
      </c>
      <c r="CF91" s="452">
        <v>4.7199999999999997E-6</v>
      </c>
      <c r="CG91" s="452">
        <v>8.7600000000000004E-9</v>
      </c>
      <c r="CH91" s="452">
        <v>4.33E-6</v>
      </c>
      <c r="CI91" s="452">
        <v>1.14E-7</v>
      </c>
      <c r="CJ91" s="452">
        <v>3.7399999999999999E-9</v>
      </c>
      <c r="CK91" s="452">
        <v>1.14E-7</v>
      </c>
      <c r="CL91" s="452">
        <v>4.0300000000000004E-9</v>
      </c>
      <c r="CM91" s="452">
        <v>4.7600000000000003E-8</v>
      </c>
      <c r="CN91" s="453">
        <v>45204.28402777778</v>
      </c>
      <c r="CO91" s="450">
        <v>1696513763</v>
      </c>
      <c r="CP91" s="450" t="s">
        <v>420</v>
      </c>
      <c r="CQ91" s="450" t="s">
        <v>416</v>
      </c>
      <c r="CR91" s="450" t="s">
        <v>415</v>
      </c>
      <c r="CS91" s="450">
        <v>2725</v>
      </c>
      <c r="CT91" s="450">
        <v>21.240079999999999</v>
      </c>
      <c r="CU91" s="450">
        <v>2.7399999999999998E-3</v>
      </c>
      <c r="CV91" s="450">
        <v>2</v>
      </c>
      <c r="CW91" s="452">
        <v>2.44E-8</v>
      </c>
      <c r="CX91" s="452">
        <v>9.5000000000000004E-8</v>
      </c>
      <c r="CY91" s="450">
        <v>3</v>
      </c>
      <c r="CZ91" s="450">
        <v>30</v>
      </c>
      <c r="DA91" s="452">
        <v>2.65E-7</v>
      </c>
      <c r="DB91" s="452">
        <v>3.47E-8</v>
      </c>
      <c r="DC91" s="450">
        <v>0.1977872</v>
      </c>
      <c r="DD91" s="452">
        <v>3.4100000000000001E-8</v>
      </c>
      <c r="DE91" s="452">
        <v>3.0600000000000003E-8</v>
      </c>
      <c r="DF91" s="452">
        <v>2.7400000000000001E-8</v>
      </c>
      <c r="DG91" s="452">
        <v>1.65E-12</v>
      </c>
      <c r="DH91" s="452">
        <v>1.48E-12</v>
      </c>
      <c r="DI91" s="452">
        <v>1.33E-12</v>
      </c>
      <c r="DJ91" s="450">
        <v>-1.877407947</v>
      </c>
      <c r="DK91" s="450">
        <v>-1.020558072</v>
      </c>
      <c r="DL91" s="450">
        <v>-0.17022187699999999</v>
      </c>
      <c r="DM91" s="452">
        <v>-2.4399999999999998E-10</v>
      </c>
      <c r="DN91" s="452">
        <v>-2.26E-10</v>
      </c>
      <c r="DO91" s="450">
        <v>7.7945250000000001E-3</v>
      </c>
      <c r="DP91" s="450">
        <v>-5.6635100290000002</v>
      </c>
      <c r="DQ91" s="450">
        <v>-5.6151625950000001</v>
      </c>
      <c r="DR91" s="450">
        <v>0.65093018499999999</v>
      </c>
      <c r="DS91" s="450">
        <v>0.70085646000000001</v>
      </c>
      <c r="DT91" s="451">
        <f>SQRT((0.0391*10^6)/(DR91-0.154))-273.15</f>
        <v>7.3550534827112415</v>
      </c>
    </row>
    <row r="92" spans="1:126" s="450" customFormat="1" ht="34" x14ac:dyDescent="0.2">
      <c r="A92" s="450">
        <v>2021</v>
      </c>
      <c r="B92" s="450" t="s">
        <v>461</v>
      </c>
      <c r="C92" s="450">
        <v>6690</v>
      </c>
      <c r="D92" s="450" t="s">
        <v>430</v>
      </c>
      <c r="E92" s="450">
        <v>1</v>
      </c>
      <c r="F92" s="450" t="s">
        <v>418</v>
      </c>
      <c r="G92" s="450">
        <v>-5.3735205019999999</v>
      </c>
      <c r="H92" s="450">
        <v>4.3432360000000003E-3</v>
      </c>
      <c r="I92" s="450">
        <v>30</v>
      </c>
      <c r="J92" s="452">
        <v>-2.3900000000000002E-5</v>
      </c>
      <c r="K92" s="450">
        <v>2.337755E-3</v>
      </c>
      <c r="L92" s="450">
        <v>0.799711065</v>
      </c>
      <c r="M92" s="450">
        <v>-6.2722474970000004</v>
      </c>
      <c r="N92" s="450">
        <v>9.0702920000000006E-3</v>
      </c>
      <c r="O92" s="450">
        <v>30</v>
      </c>
      <c r="P92" s="450">
        <v>-6.3539499999999997E-4</v>
      </c>
      <c r="Q92" s="450">
        <v>0.38031781799999997</v>
      </c>
      <c r="R92" s="450">
        <v>2.8419900000000001E-4</v>
      </c>
      <c r="S92" s="450">
        <v>4.5935780050000004</v>
      </c>
      <c r="T92" s="450">
        <v>4.0828829999999998E-3</v>
      </c>
      <c r="U92" s="450">
        <v>30</v>
      </c>
      <c r="V92" s="452">
        <v>-4.4799999999999998E-5</v>
      </c>
      <c r="W92" s="450">
        <v>9.3447879999999997E-3</v>
      </c>
      <c r="X92" s="450">
        <v>0.61133447299999999</v>
      </c>
      <c r="Y92" s="450">
        <v>1.1452206650000001</v>
      </c>
      <c r="Z92" s="450">
        <v>9.1281939999999992E-3</v>
      </c>
      <c r="AA92" s="450">
        <v>30</v>
      </c>
      <c r="AB92" s="450">
        <v>-6.39556E-4</v>
      </c>
      <c r="AC92" s="450">
        <v>0.38044304800000001</v>
      </c>
      <c r="AD92" s="450">
        <v>2.8335600000000002E-4</v>
      </c>
      <c r="AE92" s="450">
        <v>5.6410547009999998</v>
      </c>
      <c r="AF92" s="450">
        <v>5.6048028999999999E-2</v>
      </c>
      <c r="AG92" s="450">
        <v>30</v>
      </c>
      <c r="AH92" s="450">
        <v>1.10177E-4</v>
      </c>
      <c r="AI92" s="450">
        <v>2.9947900000000001E-4</v>
      </c>
      <c r="AJ92" s="450">
        <v>0.92767941899999995</v>
      </c>
      <c r="AK92" s="450">
        <v>-0.22920891099999999</v>
      </c>
      <c r="AL92" s="450">
        <v>5.7285500000000003E-2</v>
      </c>
      <c r="AM92" s="450">
        <v>30</v>
      </c>
      <c r="AN92" s="450">
        <v>7.8344199999999997E-4</v>
      </c>
      <c r="AO92" s="450">
        <v>1.4495266999999999E-2</v>
      </c>
      <c r="AP92" s="450">
        <v>0.52625776300000005</v>
      </c>
      <c r="AQ92" s="450">
        <v>2.3193266160000001</v>
      </c>
      <c r="AR92" s="450">
        <v>0.23056565900000001</v>
      </c>
      <c r="AS92" s="450">
        <v>30</v>
      </c>
      <c r="AT92" s="450">
        <v>3.6682310000000001E-3</v>
      </c>
      <c r="AU92" s="450">
        <v>1.9616695999999999E-2</v>
      </c>
      <c r="AV92" s="450">
        <v>0.460397997</v>
      </c>
      <c r="AW92" s="450">
        <v>2.7552740999999999E-2</v>
      </c>
      <c r="AX92" s="450">
        <v>0.23051454099999999</v>
      </c>
      <c r="AY92" s="450">
        <v>30</v>
      </c>
      <c r="AZ92" s="450">
        <v>4.9375260000000002E-3</v>
      </c>
      <c r="BA92" s="450">
        <v>3.5556898000000003E-2</v>
      </c>
      <c r="BB92" s="450">
        <v>0.31831892899999997</v>
      </c>
      <c r="BC92" s="450">
        <v>16.063293059999999</v>
      </c>
      <c r="BD92" s="450">
        <v>5.9751701419999996</v>
      </c>
      <c r="BE92" s="450">
        <v>30</v>
      </c>
      <c r="BF92" s="450">
        <v>-0.12738419500000001</v>
      </c>
      <c r="BG92" s="450">
        <v>3.5223479000000002E-2</v>
      </c>
      <c r="BH92" s="450">
        <v>0.32064025000000002</v>
      </c>
      <c r="BI92" s="450">
        <v>8.8390998449999998</v>
      </c>
      <c r="BJ92" s="450">
        <v>5.9356699519999996</v>
      </c>
      <c r="BK92" s="450">
        <v>30</v>
      </c>
      <c r="BL92" s="450">
        <v>-0.12516565499999999</v>
      </c>
      <c r="BM92" s="450">
        <v>3.4461371999999997E-2</v>
      </c>
      <c r="BN92" s="450">
        <v>0.32602745</v>
      </c>
      <c r="BO92" s="450">
        <v>1.1867304E-2</v>
      </c>
      <c r="BP92" s="452">
        <v>8.0299999999999998E-8</v>
      </c>
      <c r="BQ92" s="450">
        <v>1.181304E-2</v>
      </c>
      <c r="BR92" s="452">
        <v>9.1500000000000005E-8</v>
      </c>
      <c r="BS92" s="450">
        <v>1.1903515999999999E-2</v>
      </c>
      <c r="BT92" s="450">
        <v>4.2473060000000002E-3</v>
      </c>
      <c r="BU92" s="452">
        <v>1.1600000000000001E-7</v>
      </c>
      <c r="BV92" s="450">
        <v>4.2424469999999999E-3</v>
      </c>
      <c r="BW92" s="452">
        <v>1.36E-7</v>
      </c>
      <c r="BX92" s="450">
        <v>4.1594479999999996E-3</v>
      </c>
      <c r="BY92" s="452">
        <v>4.8300000000000002E-5</v>
      </c>
      <c r="BZ92" s="452">
        <v>3.29E-9</v>
      </c>
      <c r="CA92" s="452">
        <v>4.8000000000000001E-5</v>
      </c>
      <c r="CB92" s="452">
        <v>2.7200000000000001E-9</v>
      </c>
      <c r="CC92" s="452">
        <v>4.7800000000000003E-5</v>
      </c>
      <c r="CD92" s="452">
        <v>4.6500000000000004E-6</v>
      </c>
      <c r="CE92" s="452">
        <v>6.4400000000000001E-9</v>
      </c>
      <c r="CF92" s="452">
        <v>4.6399999999999996E-6</v>
      </c>
      <c r="CG92" s="452">
        <v>6.24E-9</v>
      </c>
      <c r="CH92" s="452">
        <v>4.33E-6</v>
      </c>
      <c r="CI92" s="452">
        <v>8.5899999999999995E-8</v>
      </c>
      <c r="CJ92" s="452">
        <v>2.09E-9</v>
      </c>
      <c r="CK92" s="452">
        <v>8.4499999999999996E-8</v>
      </c>
      <c r="CL92" s="452">
        <v>2.1400000000000001E-9</v>
      </c>
      <c r="CM92" s="452">
        <v>4.8300000000000002E-8</v>
      </c>
      <c r="CN92" s="453">
        <v>45204.984722222223</v>
      </c>
      <c r="CO92" s="450">
        <v>1696574317</v>
      </c>
      <c r="CP92" s="450" t="s">
        <v>420</v>
      </c>
      <c r="CQ92" s="450" t="s">
        <v>416</v>
      </c>
      <c r="CR92" s="450" t="s">
        <v>415</v>
      </c>
      <c r="CS92" s="450">
        <v>2597</v>
      </c>
      <c r="CT92" s="450">
        <v>17.669519999999999</v>
      </c>
      <c r="CU92" s="450">
        <v>2.8E-3</v>
      </c>
      <c r="CV92" s="450">
        <v>1</v>
      </c>
      <c r="CW92" s="452">
        <v>2.73E-8</v>
      </c>
      <c r="CX92" s="452">
        <v>1.05E-7</v>
      </c>
      <c r="CY92" s="450">
        <v>3</v>
      </c>
      <c r="CZ92" s="450">
        <v>30</v>
      </c>
      <c r="DA92" s="452">
        <v>2.6E-7</v>
      </c>
      <c r="DB92" s="452">
        <v>7.7900000000000003E-8</v>
      </c>
      <c r="DC92" s="450">
        <v>0.10050820000000001</v>
      </c>
      <c r="DD92" s="452">
        <v>7.4900000000000002E-8</v>
      </c>
      <c r="DE92" s="452">
        <v>6.5600000000000005E-8</v>
      </c>
      <c r="DF92" s="452">
        <v>5.7299999999999997E-8</v>
      </c>
      <c r="DG92" s="452">
        <v>3.6199999999999999E-12</v>
      </c>
      <c r="DH92" s="452">
        <v>3.17E-12</v>
      </c>
      <c r="DI92" s="452">
        <v>2.7700000000000001E-12</v>
      </c>
      <c r="DJ92" s="450">
        <v>-1.157392776</v>
      </c>
      <c r="DK92" s="450">
        <v>-0.65031648200000003</v>
      </c>
      <c r="DL92" s="450">
        <v>-0.17383061899999999</v>
      </c>
      <c r="DM92" s="452">
        <v>-6.6399999999999998E-10</v>
      </c>
      <c r="DN92" s="452">
        <v>-6.4299999999999995E-10</v>
      </c>
      <c r="DO92" s="450">
        <v>6.8038200000000004E-3</v>
      </c>
      <c r="DP92" s="450">
        <v>-5.7207196959999997</v>
      </c>
      <c r="DQ92" s="450">
        <v>-5.653008432</v>
      </c>
      <c r="DR92" s="450">
        <v>0.66901960500000002</v>
      </c>
      <c r="DS92" s="450">
        <v>0.65210396500000001</v>
      </c>
      <c r="DT92" s="451">
        <f>SQRT((0.0391*10^6)/(DR92-0.154))-273.15</f>
        <v>2.3848253829157215</v>
      </c>
      <c r="DV92" s="445" t="s">
        <v>460</v>
      </c>
    </row>
    <row r="93" spans="1:126" s="450" customFormat="1" x14ac:dyDescent="0.2">
      <c r="A93" s="450">
        <v>2038</v>
      </c>
      <c r="B93" s="450" t="s">
        <v>459</v>
      </c>
      <c r="C93" s="450">
        <v>6690</v>
      </c>
      <c r="D93" s="450" t="s">
        <v>430</v>
      </c>
      <c r="E93" s="450">
        <v>1</v>
      </c>
      <c r="F93" s="450" t="s">
        <v>418</v>
      </c>
      <c r="G93" s="450">
        <v>-5.4526570259999998</v>
      </c>
      <c r="H93" s="450">
        <v>8.1737300000000006E-3</v>
      </c>
      <c r="I93" s="450">
        <v>30</v>
      </c>
      <c r="J93" s="450">
        <v>-6.8910900000000003E-4</v>
      </c>
      <c r="K93" s="450">
        <v>0.55085510400000004</v>
      </c>
      <c r="L93" s="452">
        <v>2.6699999999999998E-6</v>
      </c>
      <c r="M93" s="450">
        <v>-6.2908584750000003</v>
      </c>
      <c r="N93" s="450">
        <v>1.7141426000000001E-2</v>
      </c>
      <c r="O93" s="450">
        <v>30</v>
      </c>
      <c r="P93" s="450">
        <v>-1.572936E-3</v>
      </c>
      <c r="Q93" s="450">
        <v>0.65257432699999995</v>
      </c>
      <c r="R93" s="452">
        <v>6.7900000000000006E-8</v>
      </c>
      <c r="S93" s="450">
        <v>4.5182561630000002</v>
      </c>
      <c r="T93" s="450">
        <v>8.1670240000000002E-3</v>
      </c>
      <c r="U93" s="450">
        <v>30</v>
      </c>
      <c r="V93" s="450">
        <v>-7.0546699999999999E-4</v>
      </c>
      <c r="W93" s="450">
        <v>0.57826522400000002</v>
      </c>
      <c r="X93" s="452">
        <v>1.08E-6</v>
      </c>
      <c r="Y93" s="450">
        <v>1.126322405</v>
      </c>
      <c r="Z93" s="450">
        <v>1.7265063000000001E-2</v>
      </c>
      <c r="AA93" s="450">
        <v>30</v>
      </c>
      <c r="AB93" s="450">
        <v>-1.5845659999999999E-3</v>
      </c>
      <c r="AC93" s="450">
        <v>0.65280906500000002</v>
      </c>
      <c r="AD93" s="452">
        <v>6.7200000000000006E-8</v>
      </c>
      <c r="AE93" s="450">
        <v>5.5529251960000003</v>
      </c>
      <c r="AF93" s="450">
        <v>9.9586808999999998E-2</v>
      </c>
      <c r="AG93" s="450">
        <v>30</v>
      </c>
      <c r="AH93" s="450">
        <v>-1.753286E-3</v>
      </c>
      <c r="AI93" s="450">
        <v>2.4021682999999999E-2</v>
      </c>
      <c r="AJ93" s="450">
        <v>0.41347201900000002</v>
      </c>
      <c r="AK93" s="450">
        <v>-0.220924921</v>
      </c>
      <c r="AL93" s="450">
        <v>0.102968186</v>
      </c>
      <c r="AM93" s="450">
        <v>30</v>
      </c>
      <c r="AN93" s="450">
        <v>5.3692099999999999E-4</v>
      </c>
      <c r="AO93" s="450">
        <v>2.107252E-3</v>
      </c>
      <c r="AP93" s="450">
        <v>0.80965267399999996</v>
      </c>
      <c r="AQ93" s="450">
        <v>2.2783544490000001</v>
      </c>
      <c r="AR93" s="450">
        <v>0.30908325199999998</v>
      </c>
      <c r="AS93" s="450">
        <v>30</v>
      </c>
      <c r="AT93" s="450">
        <v>1.5942393999999999E-2</v>
      </c>
      <c r="AU93" s="450">
        <v>0.20618537100000001</v>
      </c>
      <c r="AV93" s="450">
        <v>1.171722E-2</v>
      </c>
      <c r="AW93" s="450">
        <v>2.4431911000000001E-2</v>
      </c>
      <c r="AX93" s="450">
        <v>0.32277739799999999</v>
      </c>
      <c r="AY93" s="450">
        <v>30</v>
      </c>
      <c r="AZ93" s="450">
        <v>1.9071797000000001E-2</v>
      </c>
      <c r="BA93" s="450">
        <v>0.27056942499999997</v>
      </c>
      <c r="BB93" s="450">
        <v>3.2144280000000001E-3</v>
      </c>
      <c r="BC93" s="450">
        <v>2.810382599</v>
      </c>
      <c r="BD93" s="450">
        <v>11.327593370000001</v>
      </c>
      <c r="BE93" s="450">
        <v>30</v>
      </c>
      <c r="BF93" s="450">
        <v>0.153542184</v>
      </c>
      <c r="BG93" s="450">
        <v>1.4239076999999999E-2</v>
      </c>
      <c r="BH93" s="450">
        <v>0.52996279400000001</v>
      </c>
      <c r="BI93" s="450">
        <v>-4.2030436189999998</v>
      </c>
      <c r="BJ93" s="450">
        <v>11.25121283</v>
      </c>
      <c r="BK93" s="450">
        <v>30</v>
      </c>
      <c r="BL93" s="450">
        <v>0.15630175399999999</v>
      </c>
      <c r="BM93" s="450">
        <v>1.4956526E-2</v>
      </c>
      <c r="BN93" s="450">
        <v>0.51969970099999996</v>
      </c>
      <c r="BO93" s="450">
        <v>1.1866307E-2</v>
      </c>
      <c r="BP93" s="452">
        <v>4.5600000000000001E-7</v>
      </c>
      <c r="BQ93" s="450">
        <v>1.1812932999999999E-2</v>
      </c>
      <c r="BR93" s="452">
        <v>3.8099999999999998E-7</v>
      </c>
      <c r="BS93" s="450">
        <v>1.1902624000000001E-2</v>
      </c>
      <c r="BT93" s="450">
        <v>4.247888E-3</v>
      </c>
      <c r="BU93" s="452">
        <v>2.8900000000000001E-7</v>
      </c>
      <c r="BV93" s="450">
        <v>4.2431079999999998E-3</v>
      </c>
      <c r="BW93" s="452">
        <v>2.29E-7</v>
      </c>
      <c r="BX93" s="450">
        <v>4.1593699999999999E-3</v>
      </c>
      <c r="BY93" s="452">
        <v>4.85E-5</v>
      </c>
      <c r="BZ93" s="452">
        <v>5.7999999999999998E-9</v>
      </c>
      <c r="CA93" s="452">
        <v>4.8199999999999999E-5</v>
      </c>
      <c r="CB93" s="452">
        <v>6.17E-9</v>
      </c>
      <c r="CC93" s="452">
        <v>4.7800000000000003E-5</v>
      </c>
      <c r="CD93" s="452">
        <v>4.7400000000000004E-6</v>
      </c>
      <c r="CE93" s="452">
        <v>1.02E-8</v>
      </c>
      <c r="CF93" s="452">
        <v>4.7299999999999996E-6</v>
      </c>
      <c r="CG93" s="452">
        <v>9.4500000000000002E-9</v>
      </c>
      <c r="CH93" s="452">
        <v>4.3200000000000001E-6</v>
      </c>
      <c r="CI93" s="452">
        <v>1.14E-7</v>
      </c>
      <c r="CJ93" s="452">
        <v>3.6300000000000001E-9</v>
      </c>
      <c r="CK93" s="452">
        <v>1.14E-7</v>
      </c>
      <c r="CL93" s="452">
        <v>3.4200000000000002E-9</v>
      </c>
      <c r="CM93" s="452">
        <v>4.7699999999999997E-8</v>
      </c>
      <c r="CN93" s="453">
        <v>45206.097916666666</v>
      </c>
      <c r="CO93" s="450">
        <v>1696670512</v>
      </c>
      <c r="CP93" s="450" t="s">
        <v>422</v>
      </c>
      <c r="CQ93" s="450" t="s">
        <v>416</v>
      </c>
      <c r="CR93" s="450" t="s">
        <v>415</v>
      </c>
      <c r="CS93" s="450">
        <v>2722</v>
      </c>
      <c r="CT93" s="450">
        <v>20.690760000000001</v>
      </c>
      <c r="CU93" s="450">
        <v>2.6199999999999999E-3</v>
      </c>
      <c r="CV93" s="450">
        <v>2</v>
      </c>
      <c r="CW93" s="452">
        <v>2.59E-8</v>
      </c>
      <c r="CX93" s="452">
        <v>1.02E-7</v>
      </c>
      <c r="CY93" s="450">
        <v>3</v>
      </c>
      <c r="CZ93" s="450">
        <v>30</v>
      </c>
      <c r="DA93" s="452">
        <v>2.65E-7</v>
      </c>
      <c r="DB93" s="452">
        <v>3.5299999999999998E-8</v>
      </c>
      <c r="DC93" s="450">
        <v>0.1430717</v>
      </c>
      <c r="DD93" s="452">
        <v>3.47E-8</v>
      </c>
      <c r="DE93" s="452">
        <v>3.1100000000000001E-8</v>
      </c>
      <c r="DF93" s="452">
        <v>2.7800000000000001E-8</v>
      </c>
      <c r="DG93" s="452">
        <v>1.6799999999999999E-12</v>
      </c>
      <c r="DH93" s="452">
        <v>1.51E-12</v>
      </c>
      <c r="DI93" s="452">
        <v>1.3499999999999999E-12</v>
      </c>
      <c r="DJ93" s="450">
        <v>-2.1409514870000002</v>
      </c>
      <c r="DK93" s="450">
        <v>-1.179460519</v>
      </c>
      <c r="DL93" s="450">
        <v>-0.22231780300000001</v>
      </c>
      <c r="DM93" s="452">
        <v>-2.5300000000000001E-10</v>
      </c>
      <c r="DN93" s="452">
        <v>-2.32E-10</v>
      </c>
      <c r="DO93" s="450">
        <v>7.6013080000000002E-3</v>
      </c>
      <c r="DP93" s="450">
        <v>-5.8000878159999996</v>
      </c>
      <c r="DQ93" s="450">
        <v>-5.67156181</v>
      </c>
      <c r="DR93" s="450">
        <v>0.67750800200000005</v>
      </c>
      <c r="DS93" s="450">
        <v>0.64555775500000001</v>
      </c>
      <c r="DT93" s="451">
        <f>SQRT((0.0391*10^6)/(DR93-0.154))-273.15</f>
        <v>0.14187263197101174</v>
      </c>
    </row>
    <row r="94" spans="1:126" s="555" customFormat="1" x14ac:dyDescent="0.2">
      <c r="L94" s="556"/>
      <c r="R94" s="556"/>
      <c r="X94" s="556"/>
      <c r="AD94" s="556"/>
      <c r="BP94" s="556"/>
      <c r="BR94" s="556"/>
      <c r="BU94" s="556"/>
      <c r="BW94" s="556"/>
      <c r="BY94" s="556"/>
      <c r="BZ94" s="556"/>
      <c r="CA94" s="556"/>
      <c r="CB94" s="556"/>
      <c r="CC94" s="556"/>
      <c r="CD94" s="556"/>
      <c r="CE94" s="556"/>
      <c r="CF94" s="556"/>
      <c r="CG94" s="556"/>
      <c r="CH94" s="556"/>
      <c r="CI94" s="556"/>
      <c r="CJ94" s="556"/>
      <c r="CK94" s="556"/>
      <c r="CL94" s="556"/>
      <c r="CM94" s="556"/>
      <c r="CN94" s="557"/>
      <c r="CW94" s="556"/>
      <c r="CX94" s="556"/>
      <c r="DA94" s="556"/>
      <c r="DB94" s="556"/>
      <c r="DD94" s="556"/>
      <c r="DE94" s="556"/>
      <c r="DF94" s="556"/>
      <c r="DG94" s="556"/>
      <c r="DH94" s="556"/>
      <c r="DI94" s="556"/>
      <c r="DM94" s="556"/>
      <c r="DN94" s="556"/>
      <c r="DP94" s="540">
        <v>-7.8496452697392396</v>
      </c>
      <c r="DQ94" s="540">
        <v>-5.4745097420408699</v>
      </c>
      <c r="DR94" s="540">
        <v>0.59318773485922505</v>
      </c>
      <c r="DS94" s="540">
        <v>-0.78001073517945596</v>
      </c>
      <c r="DT94" s="558"/>
    </row>
    <row r="95" spans="1:126" x14ac:dyDescent="0.2">
      <c r="B95" s="553" t="s">
        <v>646</v>
      </c>
      <c r="L95" s="423"/>
      <c r="R95" s="423"/>
      <c r="X95" s="423"/>
      <c r="AD95" s="423"/>
      <c r="BP95" s="423"/>
      <c r="BR95" s="423"/>
      <c r="BU95" s="423"/>
      <c r="BW95" s="423"/>
      <c r="BY95" s="423"/>
      <c r="BZ95" s="423"/>
      <c r="CA95" s="423"/>
      <c r="CB95" s="423"/>
      <c r="CC95" s="423"/>
      <c r="CD95" s="423"/>
      <c r="CE95" s="423"/>
      <c r="CF95" s="423"/>
      <c r="CG95" s="423"/>
      <c r="CH95" s="423"/>
      <c r="CI95" s="423"/>
      <c r="CJ95" s="423"/>
      <c r="CK95" s="423"/>
      <c r="CL95" s="423"/>
      <c r="CM95" s="423"/>
      <c r="CN95" s="424"/>
      <c r="CW95" s="423"/>
      <c r="CX95" s="423"/>
      <c r="DA95" s="423"/>
      <c r="DB95" s="423"/>
      <c r="DD95" s="423"/>
      <c r="DE95" s="423"/>
      <c r="DF95" s="423"/>
      <c r="DG95" s="423"/>
      <c r="DH95" s="423"/>
      <c r="DI95" s="423"/>
      <c r="DM95" s="423"/>
      <c r="DN95" s="423"/>
      <c r="DO95" s="425" t="s">
        <v>437</v>
      </c>
      <c r="DP95" s="425">
        <f>AVERAGE(DP91:DP93)</f>
        <v>-5.7281058469999993</v>
      </c>
      <c r="DQ95" s="425">
        <f>AVERAGE(DQ91:DQ93)</f>
        <v>-5.646577612333334</v>
      </c>
      <c r="DR95" s="425">
        <f>AVERAGE(DR91:DR93)</f>
        <v>0.66581926400000002</v>
      </c>
      <c r="DS95" s="425">
        <f>AVERAGE(DS91:DS93)</f>
        <v>0.66617272666666671</v>
      </c>
      <c r="DT95" s="440">
        <f>AVERAGE(DT91:DT93)</f>
        <v>3.2939171658659916</v>
      </c>
    </row>
    <row r="96" spans="1:126" x14ac:dyDescent="0.2">
      <c r="L96" s="423"/>
      <c r="R96" s="423"/>
      <c r="X96" s="423"/>
      <c r="AD96" s="423"/>
      <c r="BP96" s="423"/>
      <c r="BR96" s="423"/>
      <c r="BU96" s="423"/>
      <c r="BW96" s="423"/>
      <c r="BY96" s="423"/>
      <c r="BZ96" s="423"/>
      <c r="CA96" s="423"/>
      <c r="CB96" s="423"/>
      <c r="CC96" s="423"/>
      <c r="CD96" s="423"/>
      <c r="CE96" s="423"/>
      <c r="CF96" s="423"/>
      <c r="CG96" s="423"/>
      <c r="CH96" s="423"/>
      <c r="CI96" s="423"/>
      <c r="CJ96" s="423"/>
      <c r="CK96" s="423"/>
      <c r="CL96" s="423"/>
      <c r="CM96" s="423"/>
      <c r="CN96" s="424"/>
      <c r="CW96" s="423"/>
      <c r="CX96" s="423"/>
      <c r="DA96" s="423"/>
      <c r="DB96" s="423"/>
      <c r="DD96" s="423"/>
      <c r="DE96" s="423"/>
      <c r="DF96" s="423"/>
      <c r="DG96" s="423"/>
      <c r="DH96" s="423"/>
      <c r="DI96" s="423"/>
      <c r="DM96" s="423"/>
      <c r="DN96" s="423"/>
      <c r="DO96" s="425" t="s">
        <v>394</v>
      </c>
      <c r="DP96" s="425">
        <f>STDEV(DP91:DP93)</f>
        <v>6.8587822500793816E-2</v>
      </c>
      <c r="DQ96" s="425">
        <f>STDEV(DQ91:DQ93)</f>
        <v>2.8744294118014845E-2</v>
      </c>
      <c r="DR96" s="425">
        <f>STDEV(DR91:DR93)</f>
        <v>1.3574856389980107E-2</v>
      </c>
      <c r="DS96" s="425">
        <f>STDEV(DS91:DS93)</f>
        <v>3.0214801584560479E-2</v>
      </c>
      <c r="DT96" s="425">
        <f>STDEV(DT91:DT93)</f>
        <v>3.6915214205991225</v>
      </c>
    </row>
    <row r="97" spans="1:126" x14ac:dyDescent="0.2">
      <c r="L97" s="423"/>
      <c r="R97" s="423"/>
      <c r="X97" s="423"/>
      <c r="AD97" s="423"/>
      <c r="BP97" s="423"/>
      <c r="BR97" s="423"/>
      <c r="BU97" s="423"/>
      <c r="BW97" s="423"/>
      <c r="BY97" s="423"/>
      <c r="BZ97" s="423"/>
      <c r="CA97" s="423"/>
      <c r="CB97" s="423"/>
      <c r="CC97" s="423"/>
      <c r="CD97" s="423"/>
      <c r="CE97" s="423"/>
      <c r="CF97" s="423"/>
      <c r="CG97" s="423"/>
      <c r="CH97" s="423"/>
      <c r="CI97" s="423"/>
      <c r="CJ97" s="423"/>
      <c r="CK97" s="423"/>
      <c r="CL97" s="423"/>
      <c r="CM97" s="423"/>
      <c r="CN97" s="424"/>
      <c r="CW97" s="423"/>
      <c r="CX97" s="423"/>
      <c r="DA97" s="423"/>
      <c r="DB97" s="423"/>
      <c r="DD97" s="423"/>
      <c r="DE97" s="423"/>
      <c r="DF97" s="423"/>
      <c r="DG97" s="423"/>
      <c r="DH97" s="423"/>
      <c r="DI97" s="423"/>
      <c r="DM97" s="423"/>
      <c r="DN97" s="423"/>
      <c r="DO97" s="425" t="s">
        <v>436</v>
      </c>
      <c r="DP97" s="425">
        <f>DP96/SQRT(4)</f>
        <v>3.4293911250396908E-2</v>
      </c>
      <c r="DQ97" s="425">
        <f>DQ96/SQRT(4)</f>
        <v>1.4372147059007422E-2</v>
      </c>
      <c r="DR97" s="425">
        <f>DR96/SQRT(4)</f>
        <v>6.7874281949900535E-3</v>
      </c>
      <c r="DS97" s="425">
        <f>DS96/SQRT(4)</f>
        <v>1.510740079228024E-2</v>
      </c>
      <c r="DT97" s="425">
        <f>DT96/SQRT(4)</f>
        <v>1.8457607102995612</v>
      </c>
    </row>
    <row r="98" spans="1:126" x14ac:dyDescent="0.2">
      <c r="L98" s="423"/>
      <c r="R98" s="423"/>
      <c r="X98" s="423"/>
      <c r="AD98" s="423"/>
      <c r="BP98" s="423"/>
      <c r="BR98" s="423"/>
      <c r="BU98" s="423"/>
      <c r="BW98" s="423"/>
      <c r="BY98" s="423"/>
      <c r="BZ98" s="423"/>
      <c r="CA98" s="423"/>
      <c r="CB98" s="423"/>
      <c r="CC98" s="423"/>
      <c r="CD98" s="423"/>
      <c r="CE98" s="423"/>
      <c r="CF98" s="423"/>
      <c r="CG98" s="423"/>
      <c r="CH98" s="423"/>
      <c r="CI98" s="423"/>
      <c r="CJ98" s="423"/>
      <c r="CK98" s="423"/>
      <c r="CL98" s="423"/>
      <c r="CM98" s="423"/>
      <c r="CN98" s="424"/>
      <c r="CW98" s="423"/>
      <c r="CX98" s="423"/>
      <c r="DA98" s="423"/>
      <c r="DB98" s="423"/>
      <c r="DD98" s="423"/>
      <c r="DE98" s="423"/>
      <c r="DF98" s="423"/>
      <c r="DG98" s="423"/>
      <c r="DH98" s="423"/>
      <c r="DI98" s="423"/>
      <c r="DM98" s="423"/>
      <c r="DN98" s="423"/>
      <c r="DT98" s="427"/>
    </row>
    <row r="99" spans="1:126" s="466" customFormat="1" x14ac:dyDescent="0.2">
      <c r="A99" s="466">
        <v>2026</v>
      </c>
      <c r="B99" s="466" t="s">
        <v>458</v>
      </c>
      <c r="C99" s="466">
        <v>7170</v>
      </c>
      <c r="D99" s="466" t="s">
        <v>430</v>
      </c>
      <c r="E99" s="466">
        <v>1</v>
      </c>
      <c r="F99" s="466" t="s">
        <v>418</v>
      </c>
      <c r="G99" s="466">
        <v>-8.1541707480000003</v>
      </c>
      <c r="H99" s="466">
        <v>6.285466E-3</v>
      </c>
      <c r="I99" s="466">
        <v>30</v>
      </c>
      <c r="J99" s="466">
        <v>-2.5066900000000002E-4</v>
      </c>
      <c r="K99" s="466">
        <v>0.12326185000000001</v>
      </c>
      <c r="L99" s="466">
        <v>5.7128084000000003E-2</v>
      </c>
      <c r="M99" s="466">
        <v>-5.8802188280000003</v>
      </c>
      <c r="N99" s="466">
        <v>1.1791220999999999E-2</v>
      </c>
      <c r="O99" s="466">
        <v>30</v>
      </c>
      <c r="P99" s="466">
        <v>-1.0038099999999999E-3</v>
      </c>
      <c r="Q99" s="466">
        <v>0.56167825599999999</v>
      </c>
      <c r="R99" s="469">
        <v>1.88E-6</v>
      </c>
      <c r="S99" s="466">
        <v>1.9837174230000001</v>
      </c>
      <c r="T99" s="466">
        <v>6.0485490000000003E-3</v>
      </c>
      <c r="U99" s="466">
        <v>30</v>
      </c>
      <c r="V99" s="466">
        <v>-2.7177899999999999E-4</v>
      </c>
      <c r="W99" s="466">
        <v>0.156470515</v>
      </c>
      <c r="X99" s="466">
        <v>3.0491075999999999E-2</v>
      </c>
      <c r="Y99" s="466">
        <v>1.5339213060000001</v>
      </c>
      <c r="Z99" s="466">
        <v>1.1870831E-2</v>
      </c>
      <c r="AA99" s="466">
        <v>30</v>
      </c>
      <c r="AB99" s="466">
        <v>-1.010831E-3</v>
      </c>
      <c r="AC99" s="466">
        <v>0.56194818400000002</v>
      </c>
      <c r="AD99" s="469">
        <v>1.86E-6</v>
      </c>
      <c r="AE99" s="466">
        <v>3.3075503319999999</v>
      </c>
      <c r="AF99" s="466">
        <v>8.3184066000000001E-2</v>
      </c>
      <c r="AG99" s="466">
        <v>30</v>
      </c>
      <c r="AH99" s="466">
        <v>2.2288220000000001E-3</v>
      </c>
      <c r="AI99" s="466">
        <v>5.5638066E-2</v>
      </c>
      <c r="AJ99" s="466">
        <v>0.20953221399999999</v>
      </c>
      <c r="AK99" s="466">
        <v>-0.249668632</v>
      </c>
      <c r="AL99" s="466">
        <v>8.7917104999999995E-2</v>
      </c>
      <c r="AM99" s="466">
        <v>30</v>
      </c>
      <c r="AN99" s="466">
        <v>3.492658E-3</v>
      </c>
      <c r="AO99" s="466">
        <v>0.122311448</v>
      </c>
      <c r="AP99" s="466">
        <v>5.8161603999999999E-2</v>
      </c>
      <c r="AQ99" s="466">
        <v>2.9617555659999999</v>
      </c>
      <c r="AR99" s="466">
        <v>0.35426112399999998</v>
      </c>
      <c r="AS99" s="466">
        <v>30</v>
      </c>
      <c r="AT99" s="466">
        <v>5.7125179999999998E-3</v>
      </c>
      <c r="AU99" s="466">
        <v>2.0151616000000001E-2</v>
      </c>
      <c r="AV99" s="466">
        <v>0.45428481300000001</v>
      </c>
      <c r="AW99" s="466">
        <v>-0.108088529</v>
      </c>
      <c r="AX99" s="466">
        <v>0.357651673</v>
      </c>
      <c r="AY99" s="466">
        <v>30</v>
      </c>
      <c r="AZ99" s="466">
        <v>7.7136879999999998E-3</v>
      </c>
      <c r="BA99" s="466">
        <v>3.6050005000000003E-2</v>
      </c>
      <c r="BB99" s="466">
        <v>0.314924643</v>
      </c>
      <c r="BC99" s="466">
        <v>-12.91144854</v>
      </c>
      <c r="BD99" s="466">
        <v>7.6944500959999997</v>
      </c>
      <c r="BE99" s="466">
        <v>29</v>
      </c>
      <c r="BF99" s="466">
        <v>0.12844425900000001</v>
      </c>
      <c r="BG99" s="466">
        <v>2.2241302000000001E-2</v>
      </c>
      <c r="BH99" s="466">
        <v>0.44004121899999998</v>
      </c>
      <c r="BI99" s="466">
        <v>-17.957619090000001</v>
      </c>
      <c r="BJ99" s="466">
        <v>7.6607012230000002</v>
      </c>
      <c r="BK99" s="466">
        <v>29</v>
      </c>
      <c r="BL99" s="466">
        <v>0.130002268</v>
      </c>
      <c r="BM99" s="466">
        <v>2.2985333E-2</v>
      </c>
      <c r="BN99" s="466">
        <v>0.432405806</v>
      </c>
      <c r="BO99" s="466">
        <v>1.1836800999999999E-2</v>
      </c>
      <c r="BP99" s="469">
        <v>3.9200000000000002E-7</v>
      </c>
      <c r="BQ99" s="466">
        <v>1.1813367E-2</v>
      </c>
      <c r="BR99" s="469">
        <v>3.6100000000000002E-7</v>
      </c>
      <c r="BS99" s="466">
        <v>1.1872592E-2</v>
      </c>
      <c r="BT99" s="466">
        <v>4.2500810000000002E-3</v>
      </c>
      <c r="BU99" s="469">
        <v>2.7300000000000002E-7</v>
      </c>
      <c r="BV99" s="466">
        <v>4.2435709999999998E-3</v>
      </c>
      <c r="BW99" s="469">
        <v>2.34E-7</v>
      </c>
      <c r="BX99" s="466">
        <v>4.1610629999999996E-3</v>
      </c>
      <c r="BY99" s="469">
        <v>4.8300000000000002E-5</v>
      </c>
      <c r="BZ99" s="469">
        <v>8.2900000000000001E-9</v>
      </c>
      <c r="CA99" s="469">
        <v>4.8199999999999999E-5</v>
      </c>
      <c r="CB99" s="469">
        <v>7.1099999999999996E-9</v>
      </c>
      <c r="CC99" s="469">
        <v>4.7700000000000001E-5</v>
      </c>
      <c r="CD99" s="469">
        <v>4.7299999999999996E-6</v>
      </c>
      <c r="CE99" s="469">
        <v>9.0200000000000007E-9</v>
      </c>
      <c r="CF99" s="469">
        <v>4.7199999999999997E-6</v>
      </c>
      <c r="CG99" s="469">
        <v>8.6800000000000006E-9</v>
      </c>
      <c r="CH99" s="469">
        <v>4.33E-6</v>
      </c>
      <c r="CI99" s="469">
        <v>1.0700000000000001E-7</v>
      </c>
      <c r="CJ99" s="469">
        <v>3.3700000000000001E-9</v>
      </c>
      <c r="CK99" s="469">
        <v>1.08E-7</v>
      </c>
      <c r="CL99" s="469">
        <v>3.2799999999999998E-9</v>
      </c>
      <c r="CM99" s="469">
        <v>4.6900000000000003E-8</v>
      </c>
      <c r="CN99" s="470">
        <v>45205.204861111109</v>
      </c>
      <c r="CO99" s="466">
        <v>1696593349</v>
      </c>
      <c r="CP99" s="466" t="s">
        <v>420</v>
      </c>
      <c r="CQ99" s="466" t="s">
        <v>416</v>
      </c>
      <c r="CR99" s="466" t="s">
        <v>415</v>
      </c>
      <c r="CS99" s="466">
        <v>2683</v>
      </c>
      <c r="CT99" s="466">
        <v>58.990319999999997</v>
      </c>
      <c r="CU99" s="466">
        <v>2.8600000000000001E-3</v>
      </c>
      <c r="CV99" s="466">
        <v>3</v>
      </c>
      <c r="CW99" s="469">
        <v>2.6499999999999999E-8</v>
      </c>
      <c r="CX99" s="469">
        <v>1.03E-7</v>
      </c>
      <c r="CY99" s="466">
        <v>3</v>
      </c>
      <c r="CZ99" s="466">
        <v>30</v>
      </c>
      <c r="DA99" s="469">
        <v>2.65E-7</v>
      </c>
      <c r="DB99" s="469">
        <v>3.9699999999999998E-8</v>
      </c>
      <c r="DC99" s="466">
        <v>0.2579785</v>
      </c>
      <c r="DD99" s="469">
        <v>3.8899999999999998E-8</v>
      </c>
      <c r="DE99" s="469">
        <v>3.4900000000000001E-8</v>
      </c>
      <c r="DF99" s="469">
        <v>3.1200000000000001E-8</v>
      </c>
      <c r="DG99" s="469">
        <v>1.8800000000000001E-12</v>
      </c>
      <c r="DH99" s="469">
        <v>1.6900000000000001E-12</v>
      </c>
      <c r="DI99" s="469">
        <v>1.51E-12</v>
      </c>
      <c r="DJ99" s="466">
        <v>-1.6307077089999999</v>
      </c>
      <c r="DK99" s="466">
        <v>-0.84039975600000005</v>
      </c>
      <c r="DL99" s="466">
        <v>-6.3606047999999998E-2</v>
      </c>
      <c r="DM99" s="469">
        <v>-2.8699999999999999E-10</v>
      </c>
      <c r="DN99" s="469">
        <v>-2.6600000000000001E-10</v>
      </c>
      <c r="DO99" s="466">
        <v>2.1986701000000001E-2</v>
      </c>
      <c r="DP99" s="466">
        <v>-8.5095076410000008</v>
      </c>
      <c r="DQ99" s="466">
        <v>-5.2621930710000004</v>
      </c>
      <c r="DR99" s="466">
        <v>0.64456637100000003</v>
      </c>
      <c r="DS99" s="466">
        <v>0.43889498799999999</v>
      </c>
      <c r="DT99" s="468">
        <f>SQRT((0.0391*10^6)/(DR99-0.154))-273.15</f>
        <v>9.1686001796226151</v>
      </c>
    </row>
    <row r="100" spans="1:126" s="466" customFormat="1" ht="34" x14ac:dyDescent="0.2">
      <c r="A100" s="466">
        <v>2039</v>
      </c>
      <c r="B100" s="466" t="s">
        <v>457</v>
      </c>
      <c r="C100" s="466">
        <v>7170</v>
      </c>
      <c r="D100" s="466" t="s">
        <v>430</v>
      </c>
      <c r="E100" s="466">
        <v>1</v>
      </c>
      <c r="F100" s="466" t="s">
        <v>418</v>
      </c>
      <c r="G100" s="466">
        <v>-8.1602397230000001</v>
      </c>
      <c r="H100" s="466">
        <v>5.9533659999999999E-3</v>
      </c>
      <c r="I100" s="466">
        <v>30</v>
      </c>
      <c r="J100" s="466">
        <v>-2.4763900000000002E-4</v>
      </c>
      <c r="K100" s="466">
        <v>0.13409606099999999</v>
      </c>
      <c r="L100" s="466">
        <v>4.6565960000000003E-2</v>
      </c>
      <c r="M100" s="466">
        <v>-5.91740362</v>
      </c>
      <c r="N100" s="466">
        <v>1.1969601999999999E-2</v>
      </c>
      <c r="O100" s="466">
        <v>30</v>
      </c>
      <c r="P100" s="466">
        <v>-1.045191E-3</v>
      </c>
      <c r="Q100" s="466">
        <v>0.59092619000000002</v>
      </c>
      <c r="R100" s="469">
        <v>6.99E-7</v>
      </c>
      <c r="S100" s="466">
        <v>1.9766847949999999</v>
      </c>
      <c r="T100" s="466">
        <v>5.7475069999999998E-3</v>
      </c>
      <c r="U100" s="466">
        <v>30</v>
      </c>
      <c r="V100" s="466">
        <v>-2.70375E-4</v>
      </c>
      <c r="W100" s="466">
        <v>0.17150473899999999</v>
      </c>
      <c r="X100" s="466">
        <v>2.2897137000000001E-2</v>
      </c>
      <c r="Y100" s="466">
        <v>1.496483244</v>
      </c>
      <c r="Z100" s="466">
        <v>1.2050480000000001E-2</v>
      </c>
      <c r="AA100" s="466">
        <v>30</v>
      </c>
      <c r="AB100" s="466">
        <v>-1.052472E-3</v>
      </c>
      <c r="AC100" s="466">
        <v>0.59117228600000005</v>
      </c>
      <c r="AD100" s="469">
        <v>6.9299999999999997E-7</v>
      </c>
      <c r="AE100" s="466">
        <v>3.2334526459999999</v>
      </c>
      <c r="AF100" s="466">
        <v>8.4967169999999995E-2</v>
      </c>
      <c r="AG100" s="466">
        <v>30</v>
      </c>
      <c r="AH100" s="466">
        <v>7.0830299999999997E-4</v>
      </c>
      <c r="AI100" s="466">
        <v>5.3856379999999999E-3</v>
      </c>
      <c r="AJ100" s="466">
        <v>0.69994312599999997</v>
      </c>
      <c r="AK100" s="466">
        <v>-0.27952728300000002</v>
      </c>
      <c r="AL100" s="466">
        <v>8.8668625000000001E-2</v>
      </c>
      <c r="AM100" s="466">
        <v>30</v>
      </c>
      <c r="AN100" s="466">
        <v>2.0169860000000001E-3</v>
      </c>
      <c r="AO100" s="466">
        <v>4.0102148999999997E-2</v>
      </c>
      <c r="AP100" s="466">
        <v>0.28867580799999998</v>
      </c>
      <c r="AQ100" s="466">
        <v>2.9595125069999999</v>
      </c>
      <c r="AR100" s="466">
        <v>0.48522963699999999</v>
      </c>
      <c r="AS100" s="466">
        <v>30</v>
      </c>
      <c r="AT100" s="466">
        <v>1.9485079999999998E-2</v>
      </c>
      <c r="AU100" s="466">
        <v>0.124971634</v>
      </c>
      <c r="AV100" s="466">
        <v>5.5314829000000003E-2</v>
      </c>
      <c r="AW100" s="466">
        <v>-3.5566769999999998E-2</v>
      </c>
      <c r="AX100" s="466">
        <v>0.48835999400000002</v>
      </c>
      <c r="AY100" s="466">
        <v>30</v>
      </c>
      <c r="AZ100" s="466">
        <v>2.152898E-2</v>
      </c>
      <c r="BA100" s="466">
        <v>0.15061507700000001</v>
      </c>
      <c r="BB100" s="466">
        <v>3.4073184999999999E-2</v>
      </c>
      <c r="BC100" s="466">
        <v>-15.1154996</v>
      </c>
      <c r="BD100" s="466">
        <v>9.7737772369999991</v>
      </c>
      <c r="BE100" s="466">
        <v>30</v>
      </c>
      <c r="BF100" s="466">
        <v>0.62804602799999998</v>
      </c>
      <c r="BG100" s="466">
        <v>0.32000721900000001</v>
      </c>
      <c r="BH100" s="466">
        <v>1.122381E-3</v>
      </c>
      <c r="BI100" s="466">
        <v>-20.070379169999999</v>
      </c>
      <c r="BJ100" s="466">
        <v>9.7356178490000005</v>
      </c>
      <c r="BK100" s="466">
        <v>30</v>
      </c>
      <c r="BL100" s="466">
        <v>0.62719242799999997</v>
      </c>
      <c r="BM100" s="466">
        <v>0.32164461100000002</v>
      </c>
      <c r="BN100" s="466">
        <v>1.0828070000000001E-3</v>
      </c>
      <c r="BO100" s="466">
        <v>1.1836297000000001E-2</v>
      </c>
      <c r="BP100" s="469">
        <v>4.4299999999999998E-7</v>
      </c>
      <c r="BQ100" s="466">
        <v>1.1812946E-2</v>
      </c>
      <c r="BR100" s="469">
        <v>4.1300000000000001E-7</v>
      </c>
      <c r="BS100" s="466">
        <v>1.1872509E-2</v>
      </c>
      <c r="BT100" s="466">
        <v>4.2497309999999996E-3</v>
      </c>
      <c r="BU100" s="469">
        <v>2.9299999999999999E-7</v>
      </c>
      <c r="BV100" s="466">
        <v>4.2433810000000001E-3</v>
      </c>
      <c r="BW100" s="469">
        <v>2.5400000000000002E-7</v>
      </c>
      <c r="BX100" s="466">
        <v>4.1609079999999996E-3</v>
      </c>
      <c r="BY100" s="469">
        <v>4.8399999999999997E-5</v>
      </c>
      <c r="BZ100" s="469">
        <v>5.1000000000000002E-9</v>
      </c>
      <c r="CA100" s="469">
        <v>4.8199999999999999E-5</v>
      </c>
      <c r="CB100" s="469">
        <v>3.6100000000000001E-9</v>
      </c>
      <c r="CC100" s="469">
        <v>4.7700000000000001E-5</v>
      </c>
      <c r="CD100" s="469">
        <v>4.7400000000000004E-6</v>
      </c>
      <c r="CE100" s="469">
        <v>9.7900000000000003E-9</v>
      </c>
      <c r="CF100" s="469">
        <v>4.7299999999999996E-6</v>
      </c>
      <c r="CG100" s="469">
        <v>8.8699999999999994E-9</v>
      </c>
      <c r="CH100" s="469">
        <v>4.33E-6</v>
      </c>
      <c r="CI100" s="469">
        <v>1.09E-7</v>
      </c>
      <c r="CJ100" s="469">
        <v>3.65E-9</v>
      </c>
      <c r="CK100" s="469">
        <v>1.11E-7</v>
      </c>
      <c r="CL100" s="469">
        <v>3.1E-9</v>
      </c>
      <c r="CM100" s="469">
        <v>4.6800000000000002E-8</v>
      </c>
      <c r="CN100" s="470">
        <v>45206.144444444442</v>
      </c>
      <c r="CO100" s="466">
        <v>1696674501</v>
      </c>
      <c r="CP100" s="466" t="s">
        <v>422</v>
      </c>
      <c r="CQ100" s="466" t="s">
        <v>416</v>
      </c>
      <c r="CR100" s="466" t="s">
        <v>415</v>
      </c>
      <c r="CS100" s="466">
        <v>2532</v>
      </c>
      <c r="CT100" s="466">
        <v>54.992519999999999</v>
      </c>
      <c r="CU100" s="466">
        <v>2.6800000000000001E-3</v>
      </c>
      <c r="CV100" s="466">
        <v>3</v>
      </c>
      <c r="CW100" s="469">
        <v>2.5600000000000001E-8</v>
      </c>
      <c r="CX100" s="469">
        <v>9.9900000000000001E-8</v>
      </c>
      <c r="CY100" s="466">
        <v>3</v>
      </c>
      <c r="CZ100" s="466">
        <v>30</v>
      </c>
      <c r="DA100" s="469">
        <v>2.65E-7</v>
      </c>
      <c r="DB100" s="469">
        <v>3.7599999999999999E-8</v>
      </c>
      <c r="DC100" s="466">
        <v>0.29902030000000002</v>
      </c>
      <c r="DD100" s="469">
        <v>3.69E-8</v>
      </c>
      <c r="DE100" s="469">
        <v>3.2999999999999998E-8</v>
      </c>
      <c r="DF100" s="469">
        <v>2.9499999999999999E-8</v>
      </c>
      <c r="DG100" s="469">
        <v>1.7800000000000001E-12</v>
      </c>
      <c r="DH100" s="469">
        <v>1.6E-12</v>
      </c>
      <c r="DI100" s="469">
        <v>1.43E-12</v>
      </c>
      <c r="DJ100" s="466">
        <v>-1.6642991149999999</v>
      </c>
      <c r="DK100" s="466">
        <v>-0.83840971200000003</v>
      </c>
      <c r="DL100" s="466">
        <v>1.1209429E-2</v>
      </c>
      <c r="DM100" s="469">
        <v>-2.7299999999999999E-10</v>
      </c>
      <c r="DN100" s="469">
        <v>-2.5200000000000001E-10</v>
      </c>
      <c r="DO100" s="466">
        <v>2.1719005E-2</v>
      </c>
      <c r="DP100" s="466">
        <v>-8.5155943769999993</v>
      </c>
      <c r="DQ100" s="466">
        <v>-5.2992627780000001</v>
      </c>
      <c r="DR100" s="466">
        <v>0.61343524699999996</v>
      </c>
      <c r="DS100" s="466">
        <v>0.56293090700000004</v>
      </c>
      <c r="DT100" s="468">
        <f>SQRT((0.0391*10^6)/(DR100-0.154))-273.15</f>
        <v>18.57672968226592</v>
      </c>
      <c r="DV100" s="467" t="s">
        <v>456</v>
      </c>
    </row>
    <row r="101" spans="1:126" s="462" customFormat="1" x14ac:dyDescent="0.2">
      <c r="A101" s="462">
        <v>2005</v>
      </c>
      <c r="B101" s="462" t="s">
        <v>455</v>
      </c>
      <c r="C101" s="462">
        <v>7180</v>
      </c>
      <c r="D101" s="462" t="s">
        <v>430</v>
      </c>
      <c r="E101" s="462">
        <v>1</v>
      </c>
      <c r="F101" s="462" t="s">
        <v>418</v>
      </c>
      <c r="G101" s="462">
        <v>-8.0888820760000009</v>
      </c>
      <c r="H101" s="462">
        <v>5.9015910000000003E-3</v>
      </c>
      <c r="I101" s="462">
        <v>30</v>
      </c>
      <c r="J101" s="462">
        <v>-2.4702600000000002E-4</v>
      </c>
      <c r="K101" s="462">
        <v>0.13578382999999999</v>
      </c>
      <c r="L101" s="462">
        <v>4.5105549000000002E-2</v>
      </c>
      <c r="M101" s="462">
        <v>-5.8003805039999996</v>
      </c>
      <c r="N101" s="462">
        <v>8.4263129999999995E-3</v>
      </c>
      <c r="O101" s="462">
        <v>30</v>
      </c>
      <c r="P101" s="462">
        <v>-5.8119599999999997E-4</v>
      </c>
      <c r="Q101" s="462">
        <v>0.36869908299999998</v>
      </c>
      <c r="R101" s="462">
        <v>3.7353799999999997E-4</v>
      </c>
      <c r="S101" s="462">
        <v>2.0481241670000001</v>
      </c>
      <c r="T101" s="462">
        <v>5.6543440000000004E-3</v>
      </c>
      <c r="U101" s="462">
        <v>30</v>
      </c>
      <c r="V101" s="462">
        <v>-2.53494E-4</v>
      </c>
      <c r="W101" s="462">
        <v>0.15576617200000001</v>
      </c>
      <c r="X101" s="462">
        <v>3.0901595E-2</v>
      </c>
      <c r="Y101" s="462">
        <v>1.614413635</v>
      </c>
      <c r="Z101" s="462">
        <v>8.4841269999999993E-3</v>
      </c>
      <c r="AA101" s="462">
        <v>30</v>
      </c>
      <c r="AB101" s="462">
        <v>-5.8547600000000003E-4</v>
      </c>
      <c r="AC101" s="462">
        <v>0.36906698900000001</v>
      </c>
      <c r="AD101" s="462">
        <v>3.7034399999999999E-4</v>
      </c>
      <c r="AE101" s="462">
        <v>3.3958340740000001</v>
      </c>
      <c r="AF101" s="462">
        <v>7.0662952000000001E-2</v>
      </c>
      <c r="AG101" s="462">
        <v>30</v>
      </c>
      <c r="AH101" s="462">
        <v>-1.989907E-3</v>
      </c>
      <c r="AI101" s="462">
        <v>6.1458746000000002E-2</v>
      </c>
      <c r="AJ101" s="462">
        <v>0.186539556</v>
      </c>
      <c r="AK101" s="462">
        <v>-0.30699581799999998</v>
      </c>
      <c r="AL101" s="462">
        <v>6.7875412999999996E-2</v>
      </c>
      <c r="AM101" s="462">
        <v>30</v>
      </c>
      <c r="AN101" s="462">
        <v>-1.147157E-3</v>
      </c>
      <c r="AO101" s="462">
        <v>2.2137204000000001E-2</v>
      </c>
      <c r="AP101" s="462">
        <v>0.43263659500000001</v>
      </c>
      <c r="AQ101" s="462">
        <v>3.08087073</v>
      </c>
      <c r="AR101" s="462">
        <v>0.36146419299999999</v>
      </c>
      <c r="AS101" s="462">
        <v>30</v>
      </c>
      <c r="AT101" s="462">
        <v>1.1523547E-2</v>
      </c>
      <c r="AU101" s="462">
        <v>7.8766849E-2</v>
      </c>
      <c r="AV101" s="462">
        <v>0.13302772500000001</v>
      </c>
      <c r="AW101" s="462">
        <v>-0.15005845500000001</v>
      </c>
      <c r="AX101" s="462">
        <v>0.363062039</v>
      </c>
      <c r="AY101" s="462">
        <v>30</v>
      </c>
      <c r="AZ101" s="462">
        <v>1.2655088E-2</v>
      </c>
      <c r="BA101" s="462">
        <v>9.4160853000000003E-2</v>
      </c>
      <c r="BB101" s="462">
        <v>9.9071421000000007E-2</v>
      </c>
      <c r="BC101" s="462">
        <v>-17.631361609999999</v>
      </c>
      <c r="BD101" s="462">
        <v>10.16076906</v>
      </c>
      <c r="BE101" s="462">
        <v>30</v>
      </c>
      <c r="BF101" s="462">
        <v>2.436747E-3</v>
      </c>
      <c r="BG101" s="464">
        <v>4.4599999999999996E-6</v>
      </c>
      <c r="BH101" s="462">
        <v>0.991165772</v>
      </c>
      <c r="BI101" s="462">
        <v>-22.874091790000001</v>
      </c>
      <c r="BJ101" s="462">
        <v>10.10460653</v>
      </c>
      <c r="BK101" s="462">
        <v>30</v>
      </c>
      <c r="BL101" s="462">
        <v>3.808053E-3</v>
      </c>
      <c r="BM101" s="464">
        <v>1.1E-5</v>
      </c>
      <c r="BN101" s="462">
        <v>0.98611787500000003</v>
      </c>
      <c r="BO101" s="462">
        <v>1.1837162E-2</v>
      </c>
      <c r="BP101" s="464">
        <v>2.03E-7</v>
      </c>
      <c r="BQ101" s="462">
        <v>1.1812967000000001E-2</v>
      </c>
      <c r="BR101" s="464">
        <v>1.8199999999999999E-7</v>
      </c>
      <c r="BS101" s="462">
        <v>1.1873355E-2</v>
      </c>
      <c r="BT101" s="462">
        <v>4.250139E-3</v>
      </c>
      <c r="BU101" s="464">
        <v>7.4999999999999997E-8</v>
      </c>
      <c r="BV101" s="462">
        <v>4.2432889999999999E-3</v>
      </c>
      <c r="BW101" s="464">
        <v>5.4E-8</v>
      </c>
      <c r="BX101" s="462">
        <v>4.1613980000000002E-3</v>
      </c>
      <c r="BY101" s="464">
        <v>4.8199999999999999E-5</v>
      </c>
      <c r="BZ101" s="464">
        <v>3.5899999999999998E-9</v>
      </c>
      <c r="CA101" s="464">
        <v>4.8099999999999997E-5</v>
      </c>
      <c r="CB101" s="464">
        <v>3.1399999999999999E-9</v>
      </c>
      <c r="CC101" s="464">
        <v>4.7700000000000001E-5</v>
      </c>
      <c r="CD101" s="464">
        <v>4.7099999999999998E-6</v>
      </c>
      <c r="CE101" s="464">
        <v>8.43E-9</v>
      </c>
      <c r="CF101" s="464">
        <v>4.69E-6</v>
      </c>
      <c r="CG101" s="464">
        <v>7.8700000000000003E-9</v>
      </c>
      <c r="CH101" s="464">
        <v>4.33E-6</v>
      </c>
      <c r="CI101" s="464">
        <v>1.03E-7</v>
      </c>
      <c r="CJ101" s="464">
        <v>3.1899999999999999E-9</v>
      </c>
      <c r="CK101" s="464">
        <v>1.05E-7</v>
      </c>
      <c r="CL101" s="464">
        <v>3.24E-9</v>
      </c>
      <c r="CM101" s="464">
        <v>4.6700000000000001E-8</v>
      </c>
      <c r="CN101" s="465">
        <v>45204.199305555558</v>
      </c>
      <c r="CO101" s="462">
        <v>1696506422</v>
      </c>
      <c r="CP101" s="462" t="s">
        <v>420</v>
      </c>
      <c r="CQ101" s="462" t="s">
        <v>416</v>
      </c>
      <c r="CR101" s="462" t="s">
        <v>415</v>
      </c>
      <c r="CS101" s="462">
        <v>2821</v>
      </c>
      <c r="CT101" s="462">
        <v>65.521079999999998</v>
      </c>
      <c r="CU101" s="462">
        <v>2.4499999999999999E-3</v>
      </c>
      <c r="CV101" s="462">
        <v>3</v>
      </c>
      <c r="CW101" s="464">
        <v>2.48E-8</v>
      </c>
      <c r="CX101" s="464">
        <v>9.6400000000000003E-8</v>
      </c>
      <c r="CY101" s="462">
        <v>3</v>
      </c>
      <c r="CZ101" s="462">
        <v>30</v>
      </c>
      <c r="DA101" s="464">
        <v>2.65E-7</v>
      </c>
      <c r="DB101" s="464">
        <v>4.3299999999999997E-8</v>
      </c>
      <c r="DC101" s="462">
        <v>0.31112869999999998</v>
      </c>
      <c r="DD101" s="464">
        <v>4.1700000000000003E-8</v>
      </c>
      <c r="DE101" s="464">
        <v>3.7399999999999997E-8</v>
      </c>
      <c r="DF101" s="464">
        <v>3.3400000000000001E-8</v>
      </c>
      <c r="DG101" s="464">
        <v>2.0100000000000001E-12</v>
      </c>
      <c r="DH101" s="464">
        <v>1.8E-12</v>
      </c>
      <c r="DI101" s="464">
        <v>1.61E-12</v>
      </c>
      <c r="DJ101" s="462">
        <v>-1.3489140120000001</v>
      </c>
      <c r="DK101" s="462">
        <v>-0.60673275199999999</v>
      </c>
      <c r="DL101" s="462">
        <v>4.0472594000000001E-2</v>
      </c>
      <c r="DM101" s="464">
        <v>-3.0099999999999999E-10</v>
      </c>
      <c r="DN101" s="464">
        <v>-2.8599999999999999E-10</v>
      </c>
      <c r="DO101" s="462">
        <v>2.3226189000000001E-2</v>
      </c>
      <c r="DP101" s="462">
        <v>-8.4440278979999999</v>
      </c>
      <c r="DQ101" s="462">
        <v>-5.1826018420000004</v>
      </c>
      <c r="DR101" s="462">
        <v>0.58511136699999999</v>
      </c>
      <c r="DS101" s="462">
        <v>0.37057981400000001</v>
      </c>
      <c r="DT101" s="463">
        <f>SQRT((0.0391*10^6)/(DR101-0.154))-273.15</f>
        <v>28.007471193305491</v>
      </c>
    </row>
    <row r="102" spans="1:126" x14ac:dyDescent="0.2">
      <c r="BG102" s="423"/>
      <c r="BM102" s="423"/>
      <c r="BP102" s="423"/>
      <c r="BR102" s="423"/>
      <c r="BU102" s="423"/>
      <c r="BW102" s="423"/>
      <c r="BY102" s="423"/>
      <c r="BZ102" s="423"/>
      <c r="CA102" s="423"/>
      <c r="CB102" s="423"/>
      <c r="CC102" s="423"/>
      <c r="CD102" s="423"/>
      <c r="CE102" s="423"/>
      <c r="CF102" s="423"/>
      <c r="CG102" s="423"/>
      <c r="CH102" s="423"/>
      <c r="CI102" s="423"/>
      <c r="CJ102" s="423"/>
      <c r="CK102" s="423"/>
      <c r="CL102" s="423"/>
      <c r="CM102" s="423"/>
      <c r="CN102" s="424"/>
      <c r="CW102" s="423"/>
      <c r="CX102" s="423"/>
      <c r="DA102" s="423"/>
      <c r="DB102" s="423"/>
      <c r="DD102" s="423"/>
      <c r="DE102" s="423"/>
      <c r="DF102" s="423"/>
      <c r="DG102" s="423"/>
      <c r="DH102" s="423"/>
      <c r="DI102" s="423"/>
      <c r="DM102" s="423"/>
      <c r="DN102" s="423"/>
      <c r="DO102" s="422" t="s">
        <v>437</v>
      </c>
      <c r="DP102" s="425">
        <f>AVERAGE(DP99:DP101)</f>
        <v>-8.489709972</v>
      </c>
      <c r="DQ102" s="425">
        <f>AVERAGE(DQ99:DQ101)</f>
        <v>-5.248019230333334</v>
      </c>
      <c r="DR102" s="425">
        <f>AVERAGE(DR99:DR101)</f>
        <v>0.61437099499999992</v>
      </c>
      <c r="DS102" s="425">
        <f>AVERAGE(DS99:DS101)</f>
        <v>0.45746856966666671</v>
      </c>
      <c r="DT102" s="440">
        <f>AVERAGE(DT99:DT101)</f>
        <v>18.584267018398009</v>
      </c>
    </row>
    <row r="103" spans="1:126" x14ac:dyDescent="0.2">
      <c r="BG103" s="423"/>
      <c r="BM103" s="423"/>
      <c r="BP103" s="423"/>
      <c r="BR103" s="423"/>
      <c r="BU103" s="423"/>
      <c r="BW103" s="423"/>
      <c r="BY103" s="423"/>
      <c r="BZ103" s="423"/>
      <c r="CA103" s="423"/>
      <c r="CB103" s="423"/>
      <c r="CC103" s="423"/>
      <c r="CD103" s="423"/>
      <c r="CE103" s="423"/>
      <c r="CF103" s="423"/>
      <c r="CG103" s="423"/>
      <c r="CH103" s="423"/>
      <c r="CI103" s="423"/>
      <c r="CJ103" s="423"/>
      <c r="CK103" s="423"/>
      <c r="CL103" s="423"/>
      <c r="CM103" s="423"/>
      <c r="CN103" s="424"/>
      <c r="CW103" s="423"/>
      <c r="CX103" s="423"/>
      <c r="DA103" s="423"/>
      <c r="DB103" s="423"/>
      <c r="DD103" s="423"/>
      <c r="DE103" s="423"/>
      <c r="DF103" s="423"/>
      <c r="DG103" s="423"/>
      <c r="DH103" s="423"/>
      <c r="DI103" s="423"/>
      <c r="DM103" s="423"/>
      <c r="DN103" s="423" t="s">
        <v>448</v>
      </c>
      <c r="DO103" s="425" t="s">
        <v>394</v>
      </c>
      <c r="DP103" s="425">
        <f>STDEV(DP99:DP101)</f>
        <v>3.9678722289024568E-2</v>
      </c>
      <c r="DQ103" s="425">
        <f>STDEV(DQ99:DQ101)</f>
        <v>5.9608026443861151E-2</v>
      </c>
      <c r="DR103" s="425">
        <f>STDEV(DR99:DR101)</f>
        <v>2.9738545583125494E-2</v>
      </c>
      <c r="DS103" s="425">
        <f>STDEV(DS99:DS101)</f>
        <v>9.7511379830868328E-2</v>
      </c>
      <c r="DT103" s="425">
        <f>STDEV(DT99:DT101)</f>
        <v>9.4194377685784509</v>
      </c>
    </row>
    <row r="104" spans="1:126" x14ac:dyDescent="0.2">
      <c r="BG104" s="423"/>
      <c r="BM104" s="423"/>
      <c r="BP104" s="423"/>
      <c r="BR104" s="423"/>
      <c r="BU104" s="423"/>
      <c r="BW104" s="423"/>
      <c r="BY104" s="423"/>
      <c r="BZ104" s="423"/>
      <c r="CA104" s="423"/>
      <c r="CB104" s="423"/>
      <c r="CC104" s="423"/>
      <c r="CD104" s="423"/>
      <c r="CE104" s="423"/>
      <c r="CF104" s="423"/>
      <c r="CG104" s="423"/>
      <c r="CH104" s="423"/>
      <c r="CI104" s="423"/>
      <c r="CJ104" s="423"/>
      <c r="CK104" s="423"/>
      <c r="CL104" s="423"/>
      <c r="CM104" s="423"/>
      <c r="CN104" s="424"/>
      <c r="CW104" s="423"/>
      <c r="CX104" s="423"/>
      <c r="DA104" s="423"/>
      <c r="DB104" s="423"/>
      <c r="DD104" s="423"/>
      <c r="DE104" s="423"/>
      <c r="DF104" s="423"/>
      <c r="DG104" s="423"/>
      <c r="DH104" s="423"/>
      <c r="DI104" s="423"/>
      <c r="DM104" s="423"/>
      <c r="DN104" s="423"/>
      <c r="DO104" s="425" t="s">
        <v>436</v>
      </c>
      <c r="DP104" s="425">
        <f>DP103/SQRT(4)</f>
        <v>1.9839361144512284E-2</v>
      </c>
      <c r="DQ104" s="425">
        <f>DQ103/SQRT(4)</f>
        <v>2.9804013221930575E-2</v>
      </c>
      <c r="DR104" s="425">
        <f>DR103/SQRT(4)</f>
        <v>1.4869272791562747E-2</v>
      </c>
      <c r="DS104" s="425">
        <f>DS103/SQRT(4)</f>
        <v>4.8755689915434164E-2</v>
      </c>
      <c r="DT104" s="425">
        <f>DT103/SQRT(4)</f>
        <v>4.7097188842892255</v>
      </c>
    </row>
    <row r="105" spans="1:126" x14ac:dyDescent="0.2">
      <c r="BG105" s="423"/>
      <c r="BM105" s="423"/>
      <c r="BP105" s="423"/>
      <c r="BR105" s="423"/>
      <c r="BU105" s="423"/>
      <c r="BW105" s="423"/>
      <c r="BY105" s="423"/>
      <c r="BZ105" s="423"/>
      <c r="CA105" s="423"/>
      <c r="CB105" s="423"/>
      <c r="CC105" s="423"/>
      <c r="CD105" s="423"/>
      <c r="CE105" s="423"/>
      <c r="CF105" s="423"/>
      <c r="CG105" s="423"/>
      <c r="CH105" s="423"/>
      <c r="CI105" s="423"/>
      <c r="CJ105" s="423"/>
      <c r="CK105" s="423"/>
      <c r="CL105" s="423"/>
      <c r="CM105" s="423"/>
      <c r="CN105" s="424"/>
      <c r="CW105" s="423"/>
      <c r="CX105" s="423"/>
      <c r="DA105" s="423"/>
      <c r="DB105" s="423"/>
      <c r="DD105" s="423"/>
      <c r="DE105" s="423"/>
      <c r="DF105" s="423"/>
      <c r="DG105" s="423"/>
      <c r="DH105" s="423"/>
      <c r="DI105" s="423"/>
      <c r="DM105" s="423"/>
      <c r="DN105" s="423"/>
      <c r="DO105" s="425"/>
      <c r="DP105" s="425"/>
      <c r="DQ105" s="425"/>
      <c r="DR105" s="425"/>
      <c r="DS105" s="425"/>
      <c r="DT105" s="427"/>
    </row>
    <row r="106" spans="1:126" x14ac:dyDescent="0.2">
      <c r="BG106" s="423"/>
      <c r="BM106" s="423"/>
      <c r="BP106" s="423"/>
      <c r="BR106" s="423"/>
      <c r="BU106" s="423"/>
      <c r="BW106" s="423"/>
      <c r="BY106" s="423"/>
      <c r="BZ106" s="423"/>
      <c r="CA106" s="423"/>
      <c r="CB106" s="423"/>
      <c r="CC106" s="423"/>
      <c r="CD106" s="423"/>
      <c r="CE106" s="423"/>
      <c r="CF106" s="423"/>
      <c r="CG106" s="423"/>
      <c r="CH106" s="423"/>
      <c r="CI106" s="423"/>
      <c r="CJ106" s="423"/>
      <c r="CK106" s="423"/>
      <c r="CL106" s="423"/>
      <c r="CM106" s="423"/>
      <c r="CN106" s="424"/>
      <c r="CW106" s="423"/>
      <c r="CX106" s="423"/>
      <c r="DA106" s="423"/>
      <c r="DB106" s="423"/>
      <c r="DD106" s="423"/>
      <c r="DE106" s="423"/>
      <c r="DF106" s="423"/>
      <c r="DG106" s="423"/>
      <c r="DH106" s="423"/>
      <c r="DI106" s="423"/>
      <c r="DM106" s="423"/>
      <c r="DN106" s="423"/>
      <c r="DO106" s="425" t="s">
        <v>437</v>
      </c>
      <c r="DP106" s="425">
        <f>AVERAGE(DP99:DP100)</f>
        <v>-8.5125510089999992</v>
      </c>
      <c r="DQ106" s="425">
        <f>AVERAGE(DQ99:DQ100)</f>
        <v>-5.2807279245000007</v>
      </c>
      <c r="DR106" s="425">
        <f>AVERAGE(DR99:DR100)</f>
        <v>0.62900080899999999</v>
      </c>
      <c r="DS106" s="425">
        <f>AVERAGE(DS99:DS100)</f>
        <v>0.50091294750000004</v>
      </c>
      <c r="DT106" s="440">
        <f>AVERAGE(DT99:DT100)</f>
        <v>13.872664930944268</v>
      </c>
    </row>
    <row r="107" spans="1:126" ht="34" x14ac:dyDescent="0.2">
      <c r="BG107" s="423"/>
      <c r="BM107" s="423"/>
      <c r="BP107" s="423"/>
      <c r="BR107" s="423"/>
      <c r="BU107" s="423"/>
      <c r="BW107" s="423"/>
      <c r="BY107" s="423"/>
      <c r="BZ107" s="423"/>
      <c r="CA107" s="423"/>
      <c r="CB107" s="423"/>
      <c r="CC107" s="423"/>
      <c r="CD107" s="423"/>
      <c r="CE107" s="423"/>
      <c r="CF107" s="423"/>
      <c r="CG107" s="423"/>
      <c r="CH107" s="423"/>
      <c r="CI107" s="423"/>
      <c r="CJ107" s="423"/>
      <c r="CK107" s="423"/>
      <c r="CL107" s="423"/>
      <c r="CM107" s="423"/>
      <c r="CN107" s="424"/>
      <c r="CW107" s="423"/>
      <c r="CX107" s="423"/>
      <c r="DA107" s="423"/>
      <c r="DB107" s="423"/>
      <c r="DD107" s="423"/>
      <c r="DE107" s="423"/>
      <c r="DF107" s="423"/>
      <c r="DG107" s="423"/>
      <c r="DH107" s="423"/>
      <c r="DI107" s="423"/>
      <c r="DM107" s="423"/>
      <c r="DN107" s="422" t="s">
        <v>447</v>
      </c>
      <c r="DO107" s="425" t="s">
        <v>394</v>
      </c>
      <c r="DP107" s="425">
        <f>STDEV(DP99:DP100)</f>
        <v>4.3039723008912482E-3</v>
      </c>
      <c r="DQ107" s="425">
        <f>STDEV(DQ99:DQ100)</f>
        <v>2.6212241196298201E-2</v>
      </c>
      <c r="DR107" s="425">
        <f>STDEV(DR99:DR100)</f>
        <v>2.2013028886359323E-2</v>
      </c>
      <c r="DS107" s="425">
        <f>STDEV(DS99:DS100)</f>
        <v>8.7706639435605166E-2</v>
      </c>
      <c r="DT107" s="425">
        <f>STDEV(DT99:DT100)</f>
        <v>6.6525521696003018</v>
      </c>
      <c r="DV107" s="445" t="s">
        <v>454</v>
      </c>
    </row>
    <row r="108" spans="1:126" x14ac:dyDescent="0.2">
      <c r="BG108" s="423"/>
      <c r="BM108" s="423"/>
      <c r="BP108" s="423"/>
      <c r="BR108" s="423"/>
      <c r="BU108" s="423"/>
      <c r="BW108" s="423"/>
      <c r="BY108" s="423"/>
      <c r="BZ108" s="423"/>
      <c r="CA108" s="423"/>
      <c r="CB108" s="423"/>
      <c r="CC108" s="423"/>
      <c r="CD108" s="423"/>
      <c r="CE108" s="423"/>
      <c r="CF108" s="423"/>
      <c r="CG108" s="423"/>
      <c r="CH108" s="423"/>
      <c r="CI108" s="423"/>
      <c r="CJ108" s="423"/>
      <c r="CK108" s="423"/>
      <c r="CL108" s="423"/>
      <c r="CM108" s="423"/>
      <c r="CN108" s="424"/>
      <c r="CW108" s="423"/>
      <c r="CX108" s="423"/>
      <c r="DA108" s="423"/>
      <c r="DB108" s="423"/>
      <c r="DD108" s="423"/>
      <c r="DE108" s="423"/>
      <c r="DF108" s="423"/>
      <c r="DG108" s="423"/>
      <c r="DH108" s="423"/>
      <c r="DI108" s="423"/>
      <c r="DM108" s="423"/>
      <c r="DN108" s="423"/>
      <c r="DO108" s="425" t="s">
        <v>436</v>
      </c>
      <c r="DP108" s="425">
        <f>DP107/SQRT(4)</f>
        <v>2.1519861504456241E-3</v>
      </c>
      <c r="DQ108" s="425">
        <f>DQ107/SQRT(4)</f>
        <v>1.31061205981491E-2</v>
      </c>
      <c r="DR108" s="425">
        <f>DR107/SQRT(4)</f>
        <v>1.1006514443179662E-2</v>
      </c>
      <c r="DS108" s="425">
        <f>DS107/SQRT(4)</f>
        <v>4.3853319717802583E-2</v>
      </c>
      <c r="DT108" s="425">
        <f>DT107/SQRT(4)</f>
        <v>3.3262760848001509</v>
      </c>
    </row>
    <row r="109" spans="1:126" x14ac:dyDescent="0.2">
      <c r="BG109" s="423"/>
      <c r="BM109" s="423"/>
      <c r="BP109" s="423"/>
      <c r="BR109" s="423"/>
      <c r="BU109" s="423"/>
      <c r="BW109" s="423"/>
      <c r="BY109" s="423"/>
      <c r="BZ109" s="423"/>
      <c r="CA109" s="423"/>
      <c r="CB109" s="423"/>
      <c r="CC109" s="423"/>
      <c r="CD109" s="423"/>
      <c r="CE109" s="423"/>
      <c r="CF109" s="423"/>
      <c r="CG109" s="423"/>
      <c r="CH109" s="423"/>
      <c r="CI109" s="423"/>
      <c r="CJ109" s="423"/>
      <c r="CK109" s="423"/>
      <c r="CL109" s="423"/>
      <c r="CM109" s="423"/>
      <c r="CN109" s="424"/>
      <c r="CW109" s="423"/>
      <c r="CX109" s="423"/>
      <c r="DA109" s="423"/>
      <c r="DB109" s="423"/>
      <c r="DD109" s="423"/>
      <c r="DE109" s="423"/>
      <c r="DF109" s="423"/>
      <c r="DG109" s="423"/>
      <c r="DH109" s="423"/>
      <c r="DI109" s="423"/>
      <c r="DM109" s="423"/>
      <c r="DN109" s="423"/>
    </row>
    <row r="110" spans="1:126" s="458" customFormat="1" ht="34" x14ac:dyDescent="0.2">
      <c r="A110" s="458">
        <v>2004</v>
      </c>
      <c r="B110" s="458" t="s">
        <v>453</v>
      </c>
      <c r="C110" s="458">
        <v>7770</v>
      </c>
      <c r="D110" s="458" t="s">
        <v>430</v>
      </c>
      <c r="E110" s="458">
        <v>1</v>
      </c>
      <c r="F110" s="458" t="s">
        <v>418</v>
      </c>
      <c r="G110" s="458">
        <v>-7.8415394640000002</v>
      </c>
      <c r="H110" s="458">
        <v>7.5957990000000003E-3</v>
      </c>
      <c r="I110" s="458">
        <v>30</v>
      </c>
      <c r="J110" s="458">
        <v>-4.4563300000000002E-4</v>
      </c>
      <c r="K110" s="458">
        <v>0.26675270200000001</v>
      </c>
      <c r="L110" s="458">
        <v>3.4782680000000001E-3</v>
      </c>
      <c r="M110" s="458">
        <v>-5.7512480190000002</v>
      </c>
      <c r="N110" s="458">
        <v>9.1951770000000006E-3</v>
      </c>
      <c r="O110" s="458">
        <v>30</v>
      </c>
      <c r="P110" s="458">
        <v>-6.4031099999999996E-4</v>
      </c>
      <c r="Q110" s="458">
        <v>0.37580531499999997</v>
      </c>
      <c r="R110" s="458">
        <v>3.1619800000000001E-4</v>
      </c>
      <c r="S110" s="458">
        <v>2.2832259810000002</v>
      </c>
      <c r="T110" s="458">
        <v>7.2047379999999996E-3</v>
      </c>
      <c r="U110" s="458">
        <v>30</v>
      </c>
      <c r="V110" s="458">
        <v>-4.4296199999999998E-4</v>
      </c>
      <c r="W110" s="458">
        <v>0.29295368100000002</v>
      </c>
      <c r="X110" s="458">
        <v>2.0107509999999999E-3</v>
      </c>
      <c r="Y110" s="458">
        <v>1.6643855439999999</v>
      </c>
      <c r="Z110" s="458">
        <v>9.2561780000000003E-3</v>
      </c>
      <c r="AA110" s="458">
        <v>30</v>
      </c>
      <c r="AB110" s="458">
        <v>-6.4539100000000004E-4</v>
      </c>
      <c r="AC110" s="458">
        <v>0.37677731399999997</v>
      </c>
      <c r="AD110" s="458">
        <v>3.0903099999999998E-4</v>
      </c>
      <c r="AE110" s="458">
        <v>3.6661766259999999</v>
      </c>
      <c r="AF110" s="458">
        <v>8.6024392000000005E-2</v>
      </c>
      <c r="AG110" s="458">
        <v>30</v>
      </c>
      <c r="AH110" s="458">
        <v>3.5267390000000001E-3</v>
      </c>
      <c r="AI110" s="458">
        <v>0.13025818</v>
      </c>
      <c r="AJ110" s="458">
        <v>5.0064015000000003E-2</v>
      </c>
      <c r="AK110" s="458">
        <v>-0.32872479399999999</v>
      </c>
      <c r="AL110" s="458">
        <v>9.2680614999999994E-2</v>
      </c>
      <c r="AM110" s="458">
        <v>30</v>
      </c>
      <c r="AN110" s="458">
        <v>4.6017879999999999E-3</v>
      </c>
      <c r="AO110" s="458">
        <v>0.19106319099999999</v>
      </c>
      <c r="AP110" s="458">
        <v>1.5721292000000001E-2</v>
      </c>
      <c r="AQ110" s="458">
        <v>3.0787135270000001</v>
      </c>
      <c r="AR110" s="458">
        <v>0.29586722300000001</v>
      </c>
      <c r="AS110" s="458">
        <v>30</v>
      </c>
      <c r="AT110" s="458">
        <v>1.5402409000000001E-2</v>
      </c>
      <c r="AU110" s="458">
        <v>0.21003192100000001</v>
      </c>
      <c r="AV110" s="458">
        <v>1.0867485E-2</v>
      </c>
      <c r="AW110" s="458">
        <v>-0.25196627199999999</v>
      </c>
      <c r="AX110" s="458">
        <v>0.29950772199999998</v>
      </c>
      <c r="AY110" s="458">
        <v>30</v>
      </c>
      <c r="AZ110" s="458">
        <v>1.6639617999999998E-2</v>
      </c>
      <c r="BA110" s="458">
        <v>0.23920617</v>
      </c>
      <c r="BB110" s="458">
        <v>6.0927830000000001E-3</v>
      </c>
      <c r="BC110" s="458">
        <v>-14.636708580000001</v>
      </c>
      <c r="BD110" s="458">
        <v>9.1265299310000003</v>
      </c>
      <c r="BE110" s="458">
        <v>30</v>
      </c>
      <c r="BF110" s="458">
        <v>0.40776763199999999</v>
      </c>
      <c r="BG110" s="458">
        <v>0.15470909199999999</v>
      </c>
      <c r="BH110" s="458">
        <v>3.1527887999999997E-2</v>
      </c>
      <c r="BI110" s="458">
        <v>-20.23646999</v>
      </c>
      <c r="BJ110" s="458">
        <v>9.0868455299999997</v>
      </c>
      <c r="BK110" s="458">
        <v>30</v>
      </c>
      <c r="BL110" s="458">
        <v>0.40714847700000001</v>
      </c>
      <c r="BM110" s="458">
        <v>0.15558977099999999</v>
      </c>
      <c r="BN110" s="458">
        <v>3.1005253E-2</v>
      </c>
      <c r="BO110" s="458">
        <v>1.1840333999999999E-2</v>
      </c>
      <c r="BP110" s="460">
        <v>6.9399999999999999E-8</v>
      </c>
      <c r="BQ110" s="458">
        <v>1.1813362000000001E-2</v>
      </c>
      <c r="BR110" s="460">
        <v>7.7599999999999993E-8</v>
      </c>
      <c r="BS110" s="458">
        <v>1.1876141E-2</v>
      </c>
      <c r="BT110" s="458">
        <v>4.2502720000000003E-3</v>
      </c>
      <c r="BU110" s="460">
        <v>4.2799999999999999E-8</v>
      </c>
      <c r="BV110" s="458">
        <v>4.2432099999999999E-3</v>
      </c>
      <c r="BW110" s="460">
        <v>3.6400000000000002E-8</v>
      </c>
      <c r="BX110" s="458">
        <v>4.1616049999999996E-3</v>
      </c>
      <c r="BY110" s="460">
        <v>4.8199999999999999E-5</v>
      </c>
      <c r="BZ110" s="460">
        <v>4.1700000000000003E-9</v>
      </c>
      <c r="CA110" s="460">
        <v>4.8099999999999997E-5</v>
      </c>
      <c r="CB110" s="460">
        <v>2.7499999999999998E-9</v>
      </c>
      <c r="CC110" s="460">
        <v>4.7700000000000001E-5</v>
      </c>
      <c r="CD110" s="460">
        <v>4.6999999999999999E-6</v>
      </c>
      <c r="CE110" s="460">
        <v>8.0600000000000007E-9</v>
      </c>
      <c r="CF110" s="460">
        <v>4.6800000000000001E-6</v>
      </c>
      <c r="CG110" s="460">
        <v>7.3499999999999996E-9</v>
      </c>
      <c r="CH110" s="460">
        <v>4.33E-6</v>
      </c>
      <c r="CI110" s="460">
        <v>9.9200000000000002E-8</v>
      </c>
      <c r="CJ110" s="460">
        <v>3.0199999999999999E-9</v>
      </c>
      <c r="CK110" s="460">
        <v>1.01E-7</v>
      </c>
      <c r="CL110" s="460">
        <v>2.6500000000000002E-9</v>
      </c>
      <c r="CM110" s="460">
        <v>4.6900000000000003E-8</v>
      </c>
      <c r="CN110" s="461">
        <v>45204.15347222222</v>
      </c>
      <c r="CO110" s="458">
        <v>1696502501</v>
      </c>
      <c r="CP110" s="458" t="s">
        <v>420</v>
      </c>
      <c r="CQ110" s="458" t="s">
        <v>416</v>
      </c>
      <c r="CR110" s="458" t="s">
        <v>415</v>
      </c>
      <c r="CS110" s="458">
        <v>2770</v>
      </c>
      <c r="CT110" s="458">
        <v>70.251300000000001</v>
      </c>
      <c r="CU110" s="458">
        <v>2.5000000000000001E-3</v>
      </c>
      <c r="CV110" s="458">
        <v>3</v>
      </c>
      <c r="CW110" s="460">
        <v>2.4900000000000001E-8</v>
      </c>
      <c r="CX110" s="460">
        <v>9.6499999999999997E-8</v>
      </c>
      <c r="CY110" s="458">
        <v>3</v>
      </c>
      <c r="CZ110" s="458">
        <v>30</v>
      </c>
      <c r="DA110" s="460">
        <v>2.65E-7</v>
      </c>
      <c r="DB110" s="460">
        <v>4.7099999999999998E-8</v>
      </c>
      <c r="DC110" s="458">
        <v>0.26178309999999999</v>
      </c>
      <c r="DD110" s="460">
        <v>4.5499999999999997E-8</v>
      </c>
      <c r="DE110" s="460">
        <v>4.07E-8</v>
      </c>
      <c r="DF110" s="460">
        <v>3.6300000000000001E-8</v>
      </c>
      <c r="DG110" s="460">
        <v>2.1900000000000002E-12</v>
      </c>
      <c r="DH110" s="460">
        <v>1.9600000000000001E-12</v>
      </c>
      <c r="DI110" s="460">
        <v>1.75E-12</v>
      </c>
      <c r="DJ110" s="458">
        <v>-1.2056254710000001</v>
      </c>
      <c r="DK110" s="458">
        <v>-0.57009398200000005</v>
      </c>
      <c r="DL110" s="458">
        <v>-2.9635847999999999E-2</v>
      </c>
      <c r="DM110" s="460">
        <v>-3.3099999999999999E-10</v>
      </c>
      <c r="DN110" s="460">
        <v>-3.1799999999999999E-10</v>
      </c>
      <c r="DO110" s="458">
        <v>2.5361479999999999E-2</v>
      </c>
      <c r="DP110" s="458">
        <v>-8.1959614270000003</v>
      </c>
      <c r="DQ110" s="458">
        <v>-5.1336214199999999</v>
      </c>
      <c r="DR110" s="458">
        <v>0.56289980399999995</v>
      </c>
      <c r="DS110" s="458">
        <v>0.196127891</v>
      </c>
      <c r="DT110" s="459">
        <f>SQRT((0.0391*10^6)/(DR110-0.154))-273.15</f>
        <v>36.078794584756679</v>
      </c>
      <c r="DV110" s="445" t="s">
        <v>452</v>
      </c>
    </row>
    <row r="111" spans="1:126" s="454" customFormat="1" x14ac:dyDescent="0.2">
      <c r="A111" s="454">
        <v>2025</v>
      </c>
      <c r="B111" s="454" t="s">
        <v>451</v>
      </c>
      <c r="C111" s="454">
        <v>7770</v>
      </c>
      <c r="D111" s="454" t="s">
        <v>430</v>
      </c>
      <c r="E111" s="454">
        <v>1</v>
      </c>
      <c r="F111" s="454" t="s">
        <v>450</v>
      </c>
      <c r="G111" s="454">
        <v>-7.8818254940000001</v>
      </c>
      <c r="H111" s="454">
        <v>5.6858009999999999E-3</v>
      </c>
      <c r="I111" s="454">
        <v>28</v>
      </c>
      <c r="J111" s="454">
        <v>1.5651200000000001E-4</v>
      </c>
      <c r="K111" s="454">
        <v>5.1272453000000003E-2</v>
      </c>
      <c r="L111" s="454">
        <v>0.24658822899999999</v>
      </c>
      <c r="M111" s="454">
        <v>-5.8718310499999999</v>
      </c>
      <c r="N111" s="454">
        <v>9.4960089999999997E-3</v>
      </c>
      <c r="O111" s="454">
        <v>28</v>
      </c>
      <c r="P111" s="454">
        <v>-7.9714E-4</v>
      </c>
      <c r="Q111" s="454">
        <v>0.47682746799999998</v>
      </c>
      <c r="R111" s="456">
        <v>4.7599999999999998E-5</v>
      </c>
      <c r="S111" s="454">
        <v>2.240978728</v>
      </c>
      <c r="T111" s="454">
        <v>5.3061419999999998E-3</v>
      </c>
      <c r="U111" s="454">
        <v>28</v>
      </c>
      <c r="V111" s="454">
        <v>1.19669E-4</v>
      </c>
      <c r="W111" s="454">
        <v>3.4417867999999997E-2</v>
      </c>
      <c r="X111" s="454">
        <v>0.34457447099999999</v>
      </c>
      <c r="Y111" s="454">
        <v>1.542937714</v>
      </c>
      <c r="Z111" s="454">
        <v>9.5549610000000007E-3</v>
      </c>
      <c r="AA111" s="454">
        <v>28</v>
      </c>
      <c r="AB111" s="454">
        <v>-8.0196499999999997E-4</v>
      </c>
      <c r="AC111" s="454">
        <v>0.47668058299999999</v>
      </c>
      <c r="AD111" s="456">
        <v>4.7800000000000003E-5</v>
      </c>
      <c r="AE111" s="454">
        <v>3.5285125970000002</v>
      </c>
      <c r="AF111" s="454">
        <v>0.10410253699999999</v>
      </c>
      <c r="AG111" s="454">
        <v>29</v>
      </c>
      <c r="AH111" s="454">
        <v>-4.5994429999999999E-3</v>
      </c>
      <c r="AI111" s="454">
        <v>0.15017694300000001</v>
      </c>
      <c r="AJ111" s="454">
        <v>3.7796924000000003E-2</v>
      </c>
      <c r="AK111" s="454">
        <v>-0.28438780600000002</v>
      </c>
      <c r="AL111" s="454">
        <v>7.8506728999999997E-2</v>
      </c>
      <c r="AM111" s="454">
        <v>29</v>
      </c>
      <c r="AN111" s="454">
        <v>-4.0375699999999998E-4</v>
      </c>
      <c r="AO111" s="454">
        <v>2.0348979999999998E-3</v>
      </c>
      <c r="AP111" s="454">
        <v>0.81626116400000004</v>
      </c>
      <c r="AQ111" s="454">
        <v>3.0460620390000002</v>
      </c>
      <c r="AR111" s="454">
        <v>0.32601079399999999</v>
      </c>
      <c r="AS111" s="454">
        <v>30</v>
      </c>
      <c r="AT111" s="454">
        <v>1.6078142E-2</v>
      </c>
      <c r="AU111" s="454">
        <v>0.18849917899999999</v>
      </c>
      <c r="AV111" s="454">
        <v>1.6519795E-2</v>
      </c>
      <c r="AW111" s="454">
        <v>-2.7582046999999998E-2</v>
      </c>
      <c r="AX111" s="454">
        <v>0.3480221</v>
      </c>
      <c r="AY111" s="454">
        <v>30</v>
      </c>
      <c r="AZ111" s="454">
        <v>2.0036405E-2</v>
      </c>
      <c r="BA111" s="454">
        <v>0.25687843100000002</v>
      </c>
      <c r="BB111" s="454">
        <v>4.2597269999999996E-3</v>
      </c>
      <c r="BC111" s="454">
        <v>-9.5608748030000008</v>
      </c>
      <c r="BD111" s="454">
        <v>10.96365076</v>
      </c>
      <c r="BE111" s="454">
        <v>29</v>
      </c>
      <c r="BF111" s="454">
        <v>-0.36044251599999999</v>
      </c>
      <c r="BG111" s="454">
        <v>7.8360941000000003E-2</v>
      </c>
      <c r="BH111" s="454">
        <v>0.14135884100000001</v>
      </c>
      <c r="BI111" s="454">
        <v>-14.89817955</v>
      </c>
      <c r="BJ111" s="454">
        <v>10.86901091</v>
      </c>
      <c r="BK111" s="454">
        <v>29</v>
      </c>
      <c r="BL111" s="454">
        <v>-0.35470484699999999</v>
      </c>
      <c r="BM111" s="454">
        <v>7.7213316000000004E-2</v>
      </c>
      <c r="BN111" s="454">
        <v>0.144430118</v>
      </c>
      <c r="BO111" s="454">
        <v>1.1840059999999999E-2</v>
      </c>
      <c r="BP111" s="456">
        <v>2.23E-7</v>
      </c>
      <c r="BQ111" s="454">
        <v>1.181371E-2</v>
      </c>
      <c r="BR111" s="456">
        <v>4.2199999999999999E-7</v>
      </c>
      <c r="BS111" s="454">
        <v>1.1875515E-2</v>
      </c>
      <c r="BT111" s="454">
        <v>4.2501270000000002E-3</v>
      </c>
      <c r="BU111" s="456">
        <v>1.6999999999999999E-7</v>
      </c>
      <c r="BV111" s="454">
        <v>4.2436100000000001E-3</v>
      </c>
      <c r="BW111" s="456">
        <v>1.17E-7</v>
      </c>
      <c r="BX111" s="454">
        <v>4.1610709999999997E-3</v>
      </c>
      <c r="BY111" s="456">
        <v>4.8300000000000002E-5</v>
      </c>
      <c r="BZ111" s="456">
        <v>3.1E-8</v>
      </c>
      <c r="CA111" s="456">
        <v>4.8099999999999997E-5</v>
      </c>
      <c r="CB111" s="456">
        <v>3.2899999999999997E-8</v>
      </c>
      <c r="CC111" s="456">
        <v>4.7700000000000001E-5</v>
      </c>
      <c r="CD111" s="456">
        <v>4.7199999999999997E-6</v>
      </c>
      <c r="CE111" s="456">
        <v>1.0099999999999999E-8</v>
      </c>
      <c r="CF111" s="456">
        <v>4.6999999999999999E-6</v>
      </c>
      <c r="CG111" s="456">
        <v>9.3200000000000001E-9</v>
      </c>
      <c r="CH111" s="456">
        <v>4.33E-6</v>
      </c>
      <c r="CI111" s="456">
        <v>1.06E-7</v>
      </c>
      <c r="CJ111" s="456">
        <v>2.7200000000000001E-9</v>
      </c>
      <c r="CK111" s="456">
        <v>1.0700000000000001E-7</v>
      </c>
      <c r="CL111" s="456">
        <v>3.3900000000000001E-9</v>
      </c>
      <c r="CM111" s="456">
        <v>4.6999999999999997E-8</v>
      </c>
      <c r="CN111" s="457">
        <v>45205.161111111112</v>
      </c>
      <c r="CO111" s="454">
        <v>1696589524</v>
      </c>
      <c r="CP111" s="454" t="s">
        <v>420</v>
      </c>
      <c r="CQ111" s="454" t="s">
        <v>416</v>
      </c>
      <c r="CR111" s="454" t="s">
        <v>415</v>
      </c>
      <c r="CS111" s="454">
        <v>2696</v>
      </c>
      <c r="CT111" s="454">
        <v>61.248620000000003</v>
      </c>
      <c r="CU111" s="454">
        <v>2.8E-3</v>
      </c>
      <c r="CV111" s="454">
        <v>3</v>
      </c>
      <c r="CW111" s="456">
        <v>2.62E-8</v>
      </c>
      <c r="CX111" s="456">
        <v>1.03E-7</v>
      </c>
      <c r="CY111" s="454">
        <v>3</v>
      </c>
      <c r="CZ111" s="454">
        <v>30</v>
      </c>
      <c r="DA111" s="456">
        <v>2.65E-7</v>
      </c>
      <c r="DB111" s="456">
        <v>4.0399999999999998E-8</v>
      </c>
      <c r="DC111" s="454">
        <v>0.26083679999999998</v>
      </c>
      <c r="DD111" s="456">
        <v>3.9500000000000003E-8</v>
      </c>
      <c r="DE111" s="456">
        <v>3.55E-8</v>
      </c>
      <c r="DF111" s="456">
        <v>3.2399999999999999E-8</v>
      </c>
      <c r="DG111" s="456">
        <v>1.9E-12</v>
      </c>
      <c r="DH111" s="456">
        <v>1.71E-12</v>
      </c>
      <c r="DI111" s="456">
        <v>1.57E-12</v>
      </c>
      <c r="DJ111" s="454">
        <v>-2.4799884489999999</v>
      </c>
      <c r="DK111" s="454">
        <v>-0.88789457100000002</v>
      </c>
      <c r="DL111" s="454">
        <v>-7.2028705999999998E-2</v>
      </c>
      <c r="DM111" s="456">
        <v>-2.85E-10</v>
      </c>
      <c r="DN111" s="456">
        <v>-2.6700000000000001E-10</v>
      </c>
      <c r="DO111" s="454">
        <v>2.2718331000000001E-2</v>
      </c>
      <c r="DP111" s="454">
        <v>-8.2363653560000003</v>
      </c>
      <c r="DQ111" s="454">
        <v>-5.2538312530000004</v>
      </c>
      <c r="DR111" s="454">
        <v>0.60878756899999997</v>
      </c>
      <c r="DS111" s="454">
        <v>0.57914164099999998</v>
      </c>
      <c r="DT111" s="455">
        <f>SQRT((0.0391*10^6)/(DR111-0.154))-273.15</f>
        <v>20.063583731362201</v>
      </c>
    </row>
    <row r="112" spans="1:126" s="454" customFormat="1" x14ac:dyDescent="0.2">
      <c r="A112" s="454">
        <v>2042</v>
      </c>
      <c r="B112" s="454" t="s">
        <v>449</v>
      </c>
      <c r="C112" s="454">
        <v>7770</v>
      </c>
      <c r="D112" s="454" t="s">
        <v>430</v>
      </c>
      <c r="E112" s="454">
        <v>1</v>
      </c>
      <c r="F112" s="454" t="s">
        <v>418</v>
      </c>
      <c r="G112" s="454">
        <v>-7.867111382</v>
      </c>
      <c r="H112" s="454">
        <v>7.0685119999999999E-3</v>
      </c>
      <c r="I112" s="454">
        <v>30</v>
      </c>
      <c r="J112" s="454">
        <v>-3.5792899999999999E-4</v>
      </c>
      <c r="K112" s="454">
        <v>0.19871941500000001</v>
      </c>
      <c r="L112" s="454">
        <v>1.3552572000000001E-2</v>
      </c>
      <c r="M112" s="454">
        <v>-5.8986663339999996</v>
      </c>
      <c r="N112" s="454">
        <v>1.5460968E-2</v>
      </c>
      <c r="O112" s="454">
        <v>30</v>
      </c>
      <c r="P112" s="454">
        <v>-1.446494E-3</v>
      </c>
      <c r="Q112" s="454">
        <v>0.67836214299999997</v>
      </c>
      <c r="R112" s="456">
        <v>2.2700000000000001E-8</v>
      </c>
      <c r="S112" s="454">
        <v>2.2539192180000001</v>
      </c>
      <c r="T112" s="454">
        <v>6.9654820000000003E-3</v>
      </c>
      <c r="U112" s="454">
        <v>30</v>
      </c>
      <c r="V112" s="454">
        <v>-3.8853500000000002E-4</v>
      </c>
      <c r="W112" s="454">
        <v>0.24113501600000001</v>
      </c>
      <c r="X112" s="454">
        <v>5.8610520000000003E-3</v>
      </c>
      <c r="Y112" s="454">
        <v>1.515959914</v>
      </c>
      <c r="Z112" s="454">
        <v>1.5568663E-2</v>
      </c>
      <c r="AA112" s="454">
        <v>30</v>
      </c>
      <c r="AB112" s="454">
        <v>-1.456604E-3</v>
      </c>
      <c r="AC112" s="454">
        <v>0.678393774</v>
      </c>
      <c r="AD112" s="456">
        <v>2.2600000000000001E-8</v>
      </c>
      <c r="AE112" s="454">
        <v>3.5491355109999998</v>
      </c>
      <c r="AF112" s="454">
        <v>0.109650764</v>
      </c>
      <c r="AG112" s="454">
        <v>30</v>
      </c>
      <c r="AH112" s="454">
        <v>4.60946E-4</v>
      </c>
      <c r="AI112" s="454">
        <v>1.3695529999999999E-3</v>
      </c>
      <c r="AJ112" s="454">
        <v>0.84605722900000002</v>
      </c>
      <c r="AK112" s="454">
        <v>-0.26951421599999997</v>
      </c>
      <c r="AL112" s="454">
        <v>0.112924259</v>
      </c>
      <c r="AM112" s="454">
        <v>30</v>
      </c>
      <c r="AN112" s="454">
        <v>2.2885039999999998E-3</v>
      </c>
      <c r="AO112" s="454">
        <v>3.1829559E-2</v>
      </c>
      <c r="AP112" s="454">
        <v>0.34554869599999999</v>
      </c>
      <c r="AQ112" s="454">
        <v>2.9173626540000002</v>
      </c>
      <c r="AR112" s="454">
        <v>0.30711603100000001</v>
      </c>
      <c r="AS112" s="454">
        <v>30</v>
      </c>
      <c r="AT112" s="454">
        <v>7.7123560000000001E-3</v>
      </c>
      <c r="AU112" s="454">
        <v>4.8873212999999999E-2</v>
      </c>
      <c r="AV112" s="454">
        <v>0.24039101099999999</v>
      </c>
      <c r="AW112" s="454">
        <v>-0.116477899</v>
      </c>
      <c r="AX112" s="454">
        <v>0.317349875</v>
      </c>
      <c r="AY112" s="454">
        <v>30</v>
      </c>
      <c r="AZ112" s="454">
        <v>1.0597638E-2</v>
      </c>
      <c r="BA112" s="454">
        <v>8.6425761000000004E-2</v>
      </c>
      <c r="BB112" s="454">
        <v>0.11482732</v>
      </c>
      <c r="BC112" s="454">
        <v>-18.01517149</v>
      </c>
      <c r="BD112" s="454">
        <v>12.44954018</v>
      </c>
      <c r="BE112" s="454">
        <v>30</v>
      </c>
      <c r="BF112" s="454">
        <v>0.374931246</v>
      </c>
      <c r="BG112" s="454">
        <v>7.0290777999999998E-2</v>
      </c>
      <c r="BH112" s="454">
        <v>0.15679723000000001</v>
      </c>
      <c r="BI112" s="454">
        <v>-23.280918610000001</v>
      </c>
      <c r="BJ112" s="454">
        <v>12.39431143</v>
      </c>
      <c r="BK112" s="454">
        <v>30</v>
      </c>
      <c r="BL112" s="454">
        <v>0.37611612300000002</v>
      </c>
      <c r="BM112" s="454">
        <v>7.1367551000000001E-2</v>
      </c>
      <c r="BN112" s="454">
        <v>0.15353973300000001</v>
      </c>
      <c r="BO112" s="454">
        <v>1.1839618999999999E-2</v>
      </c>
      <c r="BP112" s="456">
        <v>3.6300000000000001E-7</v>
      </c>
      <c r="BQ112" s="454">
        <v>1.1812994E-2</v>
      </c>
      <c r="BR112" s="456">
        <v>3.2000000000000001E-7</v>
      </c>
      <c r="BS112" s="454">
        <v>1.1875794E-2</v>
      </c>
      <c r="BT112" s="454">
        <v>4.2501570000000001E-3</v>
      </c>
      <c r="BU112" s="456">
        <v>3.1199999999999999E-7</v>
      </c>
      <c r="BV112" s="454">
        <v>4.2437239999999999E-3</v>
      </c>
      <c r="BW112" s="456">
        <v>2.5699999999999999E-7</v>
      </c>
      <c r="BX112" s="454">
        <v>4.1609890000000004E-3</v>
      </c>
      <c r="BY112" s="456">
        <v>4.8399999999999997E-5</v>
      </c>
      <c r="BZ112" s="456">
        <v>7.1600000000000001E-9</v>
      </c>
      <c r="CA112" s="456">
        <v>4.8199999999999999E-5</v>
      </c>
      <c r="CB112" s="456">
        <v>5.04E-9</v>
      </c>
      <c r="CC112" s="456">
        <v>4.7700000000000001E-5</v>
      </c>
      <c r="CD112" s="456">
        <v>4.7299999999999996E-6</v>
      </c>
      <c r="CE112" s="456">
        <v>8.9000000000000003E-9</v>
      </c>
      <c r="CF112" s="456">
        <v>4.7199999999999997E-6</v>
      </c>
      <c r="CG112" s="456">
        <v>8.4900000000000003E-9</v>
      </c>
      <c r="CH112" s="456">
        <v>4.33E-6</v>
      </c>
      <c r="CI112" s="456">
        <v>1.06E-7</v>
      </c>
      <c r="CJ112" s="456">
        <v>3.6100000000000001E-9</v>
      </c>
      <c r="CK112" s="456">
        <v>1.08E-7</v>
      </c>
      <c r="CL112" s="456">
        <v>3.1800000000000002E-9</v>
      </c>
      <c r="CM112" s="456">
        <v>4.6700000000000001E-8</v>
      </c>
      <c r="CN112" s="457">
        <v>45206.302777777775</v>
      </c>
      <c r="CO112" s="454">
        <v>1696688183</v>
      </c>
      <c r="CP112" s="454" t="s">
        <v>422</v>
      </c>
      <c r="CQ112" s="454" t="s">
        <v>416</v>
      </c>
      <c r="CR112" s="454" t="s">
        <v>415</v>
      </c>
      <c r="CS112" s="454">
        <v>2544</v>
      </c>
      <c r="CT112" s="454">
        <v>58.105310000000003</v>
      </c>
      <c r="CU112" s="454">
        <v>2.7399999999999998E-3</v>
      </c>
      <c r="CV112" s="454">
        <v>3</v>
      </c>
      <c r="CW112" s="456">
        <v>2.4900000000000001E-8</v>
      </c>
      <c r="CX112" s="456">
        <v>9.76E-8</v>
      </c>
      <c r="CY112" s="454">
        <v>3</v>
      </c>
      <c r="CZ112" s="454">
        <v>30</v>
      </c>
      <c r="DA112" s="456">
        <v>2.65E-7</v>
      </c>
      <c r="DB112" s="456">
        <v>4.0399999999999998E-8</v>
      </c>
      <c r="DC112" s="454">
        <v>0.40301769999999998</v>
      </c>
      <c r="DD112" s="456">
        <v>3.9599999999999997E-8</v>
      </c>
      <c r="DE112" s="456">
        <v>3.5299999999999998E-8</v>
      </c>
      <c r="DF112" s="456">
        <v>3.1499999999999998E-8</v>
      </c>
      <c r="DG112" s="456">
        <v>1.9199999999999999E-12</v>
      </c>
      <c r="DH112" s="456">
        <v>1.71E-12</v>
      </c>
      <c r="DI112" s="456">
        <v>1.52E-12</v>
      </c>
      <c r="DJ112" s="454">
        <v>-1.6741882830000001</v>
      </c>
      <c r="DK112" s="454">
        <v>-0.838429863</v>
      </c>
      <c r="DL112" s="454">
        <v>4.2117229999999997E-3</v>
      </c>
      <c r="DM112" s="456">
        <v>-3.0599999999999998E-10</v>
      </c>
      <c r="DN112" s="456">
        <v>-2.8100000000000001E-10</v>
      </c>
      <c r="DO112" s="454">
        <v>2.2840137999999999E-2</v>
      </c>
      <c r="DP112" s="454">
        <v>-8.2216081820000007</v>
      </c>
      <c r="DQ112" s="454">
        <v>-5.280583483</v>
      </c>
      <c r="DR112" s="454">
        <v>0.62427274700000002</v>
      </c>
      <c r="DS112" s="454">
        <v>0.42323239200000001</v>
      </c>
      <c r="DT112" s="455">
        <f>SQRT((0.0391*10^6)/(DR112-0.154))-273.15</f>
        <v>15.195695785398811</v>
      </c>
    </row>
    <row r="113" spans="1:126" x14ac:dyDescent="0.2">
      <c r="R113" s="423"/>
      <c r="AD113" s="423"/>
      <c r="BP113" s="423"/>
      <c r="BR113" s="423"/>
      <c r="BU113" s="423"/>
      <c r="BW113" s="423"/>
      <c r="BY113" s="423"/>
      <c r="BZ113" s="423"/>
      <c r="CA113" s="423"/>
      <c r="CB113" s="423"/>
      <c r="CC113" s="423"/>
      <c r="CD113" s="423"/>
      <c r="CE113" s="423"/>
      <c r="CF113" s="423"/>
      <c r="CG113" s="423"/>
      <c r="CH113" s="423"/>
      <c r="CI113" s="423"/>
      <c r="CJ113" s="423"/>
      <c r="CK113" s="423"/>
      <c r="CL113" s="423"/>
      <c r="CM113" s="423"/>
      <c r="CN113" s="424"/>
      <c r="CW113" s="423"/>
      <c r="CX113" s="423"/>
      <c r="DA113" s="423"/>
      <c r="DB113" s="423"/>
      <c r="DD113" s="423"/>
      <c r="DE113" s="423"/>
      <c r="DF113" s="423"/>
      <c r="DG113" s="423"/>
      <c r="DH113" s="423"/>
      <c r="DI113" s="423"/>
      <c r="DM113" s="423"/>
      <c r="DN113" s="423"/>
      <c r="DO113" s="425" t="s">
        <v>437</v>
      </c>
      <c r="DP113" s="425">
        <f>AVERAGE(DP110:DP112)</f>
        <v>-8.2179783216666671</v>
      </c>
      <c r="DQ113" s="425">
        <f>AVERAGE(DQ110:DQ112)</f>
        <v>-5.2226787186666668</v>
      </c>
      <c r="DR113" s="425">
        <f>AVERAGE(DR110:DR112)</f>
        <v>0.59865337333333335</v>
      </c>
      <c r="DS113" s="425">
        <f>AVERAGE(DS110:DS112)</f>
        <v>0.39950064133333335</v>
      </c>
      <c r="DT113" s="440">
        <f>AVERAGE(DT110:DT112)</f>
        <v>23.77935803383923</v>
      </c>
    </row>
    <row r="114" spans="1:126" x14ac:dyDescent="0.2">
      <c r="R114" s="423"/>
      <c r="AD114" s="423"/>
      <c r="BP114" s="423"/>
      <c r="BR114" s="423"/>
      <c r="BU114" s="423"/>
      <c r="BW114" s="423"/>
      <c r="BY114" s="423"/>
      <c r="BZ114" s="423"/>
      <c r="CA114" s="423"/>
      <c r="CB114" s="423"/>
      <c r="CC114" s="423"/>
      <c r="CD114" s="423"/>
      <c r="CE114" s="423"/>
      <c r="CF114" s="423"/>
      <c r="CG114" s="423"/>
      <c r="CH114" s="423"/>
      <c r="CI114" s="423"/>
      <c r="CJ114" s="423"/>
      <c r="CK114" s="423"/>
      <c r="CL114" s="423"/>
      <c r="CM114" s="423"/>
      <c r="CN114" s="424"/>
      <c r="CW114" s="423"/>
      <c r="CX114" s="423"/>
      <c r="DA114" s="423"/>
      <c r="DB114" s="423"/>
      <c r="DD114" s="423"/>
      <c r="DE114" s="423"/>
      <c r="DF114" s="423"/>
      <c r="DG114" s="423"/>
      <c r="DH114" s="423"/>
      <c r="DI114" s="423"/>
      <c r="DM114" s="423"/>
      <c r="DN114" s="423" t="s">
        <v>448</v>
      </c>
      <c r="DO114" s="425" t="s">
        <v>394</v>
      </c>
      <c r="DP114" s="425">
        <f>STDEV(DP110:DP112)</f>
        <v>2.0445079706102681E-2</v>
      </c>
      <c r="DQ114" s="425">
        <f>STDEV(DQ110:DQ112)</f>
        <v>7.8277214352876351E-2</v>
      </c>
      <c r="DR114" s="425">
        <f>STDEV(DR110:DR112)</f>
        <v>3.1916860348067261E-2</v>
      </c>
      <c r="DS114" s="425">
        <f>STDEV(DS110:DS112)</f>
        <v>0.19260654237212257</v>
      </c>
      <c r="DT114" s="425">
        <f>STDEV(DT110:DT112)</f>
        <v>10.926169862588948</v>
      </c>
    </row>
    <row r="115" spans="1:126" x14ac:dyDescent="0.2">
      <c r="R115" s="423"/>
      <c r="AD115" s="423"/>
      <c r="BP115" s="423"/>
      <c r="BR115" s="423"/>
      <c r="BU115" s="423"/>
      <c r="BW115" s="423"/>
      <c r="BY115" s="423"/>
      <c r="BZ115" s="423"/>
      <c r="CA115" s="423"/>
      <c r="CB115" s="423"/>
      <c r="CC115" s="423"/>
      <c r="CD115" s="423"/>
      <c r="CE115" s="423"/>
      <c r="CF115" s="423"/>
      <c r="CG115" s="423"/>
      <c r="CH115" s="423"/>
      <c r="CI115" s="423"/>
      <c r="CJ115" s="423"/>
      <c r="CK115" s="423"/>
      <c r="CL115" s="423"/>
      <c r="CM115" s="423"/>
      <c r="CN115" s="424"/>
      <c r="CW115" s="423"/>
      <c r="CX115" s="423"/>
      <c r="DA115" s="423"/>
      <c r="DB115" s="423"/>
      <c r="DD115" s="423"/>
      <c r="DE115" s="423"/>
      <c r="DF115" s="423"/>
      <c r="DG115" s="423"/>
      <c r="DH115" s="423"/>
      <c r="DI115" s="423"/>
      <c r="DM115" s="423"/>
      <c r="DN115" s="423"/>
      <c r="DO115" s="425" t="s">
        <v>436</v>
      </c>
      <c r="DP115" s="425">
        <f>DP114/SQRT(4)</f>
        <v>1.0222539853051341E-2</v>
      </c>
      <c r="DQ115" s="425">
        <f>DQ114/SQRT(4)</f>
        <v>3.9138607176438175E-2</v>
      </c>
      <c r="DR115" s="425">
        <f>DR114/SQRT(4)</f>
        <v>1.595843017403363E-2</v>
      </c>
      <c r="DS115" s="425">
        <f>DS114/SQRT(4)</f>
        <v>9.6303271186061287E-2</v>
      </c>
      <c r="DT115" s="425">
        <f>DT114/SQRT(4)</f>
        <v>5.4630849312944738</v>
      </c>
    </row>
    <row r="116" spans="1:126" x14ac:dyDescent="0.2">
      <c r="R116" s="423"/>
      <c r="AD116" s="423"/>
      <c r="BP116" s="423"/>
      <c r="BR116" s="423"/>
      <c r="BU116" s="423"/>
      <c r="BW116" s="423"/>
      <c r="BY116" s="423"/>
      <c r="BZ116" s="423"/>
      <c r="CA116" s="423"/>
      <c r="CB116" s="423"/>
      <c r="CC116" s="423"/>
      <c r="CD116" s="423"/>
      <c r="CE116" s="423"/>
      <c r="CF116" s="423"/>
      <c r="CG116" s="423"/>
      <c r="CH116" s="423"/>
      <c r="CI116" s="423"/>
      <c r="CJ116" s="423"/>
      <c r="CK116" s="423"/>
      <c r="CL116" s="423"/>
      <c r="CM116" s="423"/>
      <c r="CN116" s="424"/>
      <c r="CW116" s="423"/>
      <c r="CX116" s="423"/>
      <c r="DA116" s="423"/>
      <c r="DB116" s="423"/>
      <c r="DD116" s="423"/>
      <c r="DE116" s="423"/>
      <c r="DF116" s="423"/>
      <c r="DG116" s="423"/>
      <c r="DH116" s="423"/>
      <c r="DI116" s="423"/>
      <c r="DM116" s="423"/>
      <c r="DN116" s="423"/>
      <c r="DO116" s="425"/>
      <c r="DP116" s="425"/>
      <c r="DQ116" s="425"/>
      <c r="DR116" s="425"/>
      <c r="DS116" s="425"/>
      <c r="DT116" s="440"/>
    </row>
    <row r="117" spans="1:126" x14ac:dyDescent="0.2">
      <c r="R117" s="423"/>
      <c r="AD117" s="423"/>
      <c r="BP117" s="423"/>
      <c r="BR117" s="423"/>
      <c r="BU117" s="423"/>
      <c r="BW117" s="423"/>
      <c r="BY117" s="423"/>
      <c r="BZ117" s="423"/>
      <c r="CA117" s="423"/>
      <c r="CB117" s="423"/>
      <c r="CC117" s="423"/>
      <c r="CD117" s="423"/>
      <c r="CE117" s="423"/>
      <c r="CF117" s="423"/>
      <c r="CG117" s="423"/>
      <c r="CH117" s="423"/>
      <c r="CI117" s="423"/>
      <c r="CJ117" s="423"/>
      <c r="CK117" s="423"/>
      <c r="CL117" s="423"/>
      <c r="CM117" s="423"/>
      <c r="CN117" s="424"/>
      <c r="CW117" s="423"/>
      <c r="CX117" s="423"/>
      <c r="DA117" s="423"/>
      <c r="DB117" s="423"/>
      <c r="DD117" s="423"/>
      <c r="DE117" s="423"/>
      <c r="DF117" s="423"/>
      <c r="DG117" s="423"/>
      <c r="DH117" s="423"/>
      <c r="DI117" s="423"/>
      <c r="DM117" s="423"/>
      <c r="DN117" s="423"/>
      <c r="DO117" s="425" t="s">
        <v>437</v>
      </c>
      <c r="DP117" s="425">
        <f>AVERAGE(DP111:DP112)</f>
        <v>-8.2289867690000005</v>
      </c>
      <c r="DQ117" s="425">
        <f>AVERAGE(DQ111:DQ112)</f>
        <v>-5.2672073680000002</v>
      </c>
      <c r="DR117" s="425">
        <f>AVERAGE(DR111:DR112)</f>
        <v>0.61653015799999999</v>
      </c>
      <c r="DS117" s="425">
        <f>AVERAGE(DS111:DS112)</f>
        <v>0.50118701649999997</v>
      </c>
      <c r="DT117" s="440">
        <f>AVERAGE(DT111:DT112)</f>
        <v>17.629639758380506</v>
      </c>
    </row>
    <row r="118" spans="1:126" x14ac:dyDescent="0.2">
      <c r="R118" s="423"/>
      <c r="AD118" s="423"/>
      <c r="BP118" s="423"/>
      <c r="BR118" s="423"/>
      <c r="BU118" s="423"/>
      <c r="BW118" s="423"/>
      <c r="BY118" s="423"/>
      <c r="BZ118" s="423"/>
      <c r="CA118" s="423"/>
      <c r="CB118" s="423"/>
      <c r="CC118" s="423"/>
      <c r="CD118" s="423"/>
      <c r="CE118" s="423"/>
      <c r="CF118" s="423"/>
      <c r="CG118" s="423"/>
      <c r="CH118" s="423"/>
      <c r="CI118" s="423"/>
      <c r="CJ118" s="423"/>
      <c r="CK118" s="423"/>
      <c r="CL118" s="423"/>
      <c r="CM118" s="423"/>
      <c r="CN118" s="424"/>
      <c r="CW118" s="423"/>
      <c r="CX118" s="423"/>
      <c r="DA118" s="423"/>
      <c r="DB118" s="423"/>
      <c r="DD118" s="423"/>
      <c r="DE118" s="423"/>
      <c r="DF118" s="423"/>
      <c r="DG118" s="423"/>
      <c r="DH118" s="423"/>
      <c r="DI118" s="423"/>
      <c r="DM118" s="423"/>
      <c r="DN118" s="423" t="s">
        <v>447</v>
      </c>
      <c r="DO118" s="425" t="s">
        <v>394</v>
      </c>
      <c r="DP118" s="425">
        <f>STDEV(DP111:DP112)</f>
        <v>1.0434897806549562E-2</v>
      </c>
      <c r="DQ118" s="425">
        <f>STDEV(DQ111:DQ112)</f>
        <v>1.8916683244861909E-2</v>
      </c>
      <c r="DR118" s="425">
        <f>STDEV(DR111:DR112)</f>
        <v>1.0949674371680771E-2</v>
      </c>
      <c r="DS118" s="425">
        <f>STDEV(DS111:DS112)</f>
        <v>0.11024448721760217</v>
      </c>
      <c r="DT118" s="425">
        <f>STDEV(DT111:DT112)</f>
        <v>3.4421165766469644</v>
      </c>
    </row>
    <row r="119" spans="1:126" x14ac:dyDescent="0.2">
      <c r="R119" s="423"/>
      <c r="AD119" s="423"/>
      <c r="BP119" s="423"/>
      <c r="BR119" s="423"/>
      <c r="BU119" s="423"/>
      <c r="BW119" s="423"/>
      <c r="BY119" s="423"/>
      <c r="BZ119" s="423"/>
      <c r="CA119" s="423"/>
      <c r="CB119" s="423"/>
      <c r="CC119" s="423"/>
      <c r="CD119" s="423"/>
      <c r="CE119" s="423"/>
      <c r="CF119" s="423"/>
      <c r="CG119" s="423"/>
      <c r="CH119" s="423"/>
      <c r="CI119" s="423"/>
      <c r="CJ119" s="423"/>
      <c r="CK119" s="423"/>
      <c r="CL119" s="423"/>
      <c r="CM119" s="423"/>
      <c r="CN119" s="424"/>
      <c r="CW119" s="423"/>
      <c r="CX119" s="423"/>
      <c r="DA119" s="423"/>
      <c r="DB119" s="423"/>
      <c r="DD119" s="423"/>
      <c r="DE119" s="423"/>
      <c r="DF119" s="423"/>
      <c r="DG119" s="423"/>
      <c r="DH119" s="423"/>
      <c r="DI119" s="423"/>
      <c r="DM119" s="423"/>
      <c r="DN119" s="423"/>
      <c r="DO119" s="425" t="s">
        <v>436</v>
      </c>
      <c r="DP119" s="425">
        <f>DP118/SQRT(4)</f>
        <v>5.2174489032747809E-3</v>
      </c>
      <c r="DQ119" s="425">
        <f>DQ118/SQRT(4)</f>
        <v>9.4583416224309543E-3</v>
      </c>
      <c r="DR119" s="425">
        <f>DR118/SQRT(4)</f>
        <v>5.4748371858403854E-3</v>
      </c>
      <c r="DS119" s="425">
        <f>DS118/SQRT(4)</f>
        <v>5.5122243608801087E-2</v>
      </c>
      <c r="DT119" s="425">
        <f>DT118/SQRT(4)</f>
        <v>1.7210582883234822</v>
      </c>
    </row>
    <row r="120" spans="1:126" x14ac:dyDescent="0.2">
      <c r="R120" s="423"/>
      <c r="AD120" s="423"/>
      <c r="BP120" s="423"/>
      <c r="BR120" s="423"/>
      <c r="BU120" s="423"/>
      <c r="BW120" s="423"/>
      <c r="BY120" s="423"/>
      <c r="BZ120" s="423"/>
      <c r="CA120" s="423"/>
      <c r="CB120" s="423"/>
      <c r="CC120" s="423"/>
      <c r="CD120" s="423"/>
      <c r="CE120" s="423"/>
      <c r="CF120" s="423"/>
      <c r="CG120" s="423"/>
      <c r="CH120" s="423"/>
      <c r="CI120" s="423"/>
      <c r="CJ120" s="423"/>
      <c r="CK120" s="423"/>
      <c r="CL120" s="423"/>
      <c r="CM120" s="423"/>
      <c r="CN120" s="424"/>
      <c r="CW120" s="423"/>
      <c r="CX120" s="423"/>
      <c r="DA120" s="423"/>
      <c r="DB120" s="423"/>
      <c r="DD120" s="423"/>
      <c r="DE120" s="423"/>
      <c r="DF120" s="423"/>
      <c r="DG120" s="423"/>
      <c r="DH120" s="423"/>
      <c r="DI120" s="423"/>
      <c r="DM120" s="423"/>
      <c r="DN120" s="423"/>
      <c r="DO120" s="425"/>
      <c r="DT120" s="427"/>
    </row>
    <row r="121" spans="1:126" s="450" customFormat="1" ht="17" x14ac:dyDescent="0.2">
      <c r="A121" s="450">
        <v>2006</v>
      </c>
      <c r="B121" s="450" t="s">
        <v>446</v>
      </c>
      <c r="C121" s="450">
        <v>7810</v>
      </c>
      <c r="D121" s="450" t="s">
        <v>430</v>
      </c>
      <c r="E121" s="450">
        <v>1</v>
      </c>
      <c r="F121" s="450" t="s">
        <v>429</v>
      </c>
      <c r="G121" s="450">
        <v>-7.9093480669999998</v>
      </c>
      <c r="H121" s="450">
        <v>5.8010819999999999E-3</v>
      </c>
      <c r="I121" s="450">
        <v>30</v>
      </c>
      <c r="J121" s="450">
        <v>2.5967999999999998E-4</v>
      </c>
      <c r="K121" s="450">
        <v>0.15529654300000001</v>
      </c>
      <c r="L121" s="450">
        <v>3.1178317000000001E-2</v>
      </c>
      <c r="M121" s="450">
        <v>-6.3905943069999998</v>
      </c>
      <c r="N121" s="450">
        <v>6.5505959999999997E-3</v>
      </c>
      <c r="O121" s="450">
        <v>30</v>
      </c>
      <c r="P121" s="450">
        <v>-1.6693E-4</v>
      </c>
      <c r="Q121" s="450">
        <v>5.0328012999999998E-2</v>
      </c>
      <c r="R121" s="450">
        <v>0.23333627300000001</v>
      </c>
      <c r="S121" s="450">
        <v>2.1967834169999998</v>
      </c>
      <c r="T121" s="450">
        <v>5.420317E-3</v>
      </c>
      <c r="U121" s="450">
        <v>30</v>
      </c>
      <c r="V121" s="450">
        <v>2.39151E-4</v>
      </c>
      <c r="W121" s="450">
        <v>0.15086786399999999</v>
      </c>
      <c r="X121" s="450">
        <v>3.3910342000000003E-2</v>
      </c>
      <c r="Y121" s="450">
        <v>1.020761424</v>
      </c>
      <c r="Z121" s="450">
        <v>6.5899019999999999E-3</v>
      </c>
      <c r="AA121" s="450">
        <v>30</v>
      </c>
      <c r="AB121" s="450">
        <v>-1.67462E-4</v>
      </c>
      <c r="AC121" s="450">
        <v>5.0046954999999997E-2</v>
      </c>
      <c r="AD121" s="450">
        <v>0.23468028599999999</v>
      </c>
      <c r="AE121" s="450">
        <v>3.0329854279999999</v>
      </c>
      <c r="AF121" s="450">
        <v>7.4997306E-2</v>
      </c>
      <c r="AG121" s="450">
        <v>30</v>
      </c>
      <c r="AH121" s="450">
        <v>6.87592E-4</v>
      </c>
      <c r="AI121" s="450">
        <v>6.5143680000000004E-3</v>
      </c>
      <c r="AJ121" s="450">
        <v>0.67157730199999999</v>
      </c>
      <c r="AK121" s="450">
        <v>-0.23897238200000001</v>
      </c>
      <c r="AL121" s="450">
        <v>7.4325231000000005E-2</v>
      </c>
      <c r="AM121" s="450">
        <v>30</v>
      </c>
      <c r="AN121" s="450">
        <v>6.0357200000000003E-4</v>
      </c>
      <c r="AO121" s="450">
        <v>5.1107749999999997E-3</v>
      </c>
      <c r="AP121" s="450">
        <v>0.707357177</v>
      </c>
      <c r="AQ121" s="450">
        <v>1.9524097330000001</v>
      </c>
      <c r="AR121" s="450">
        <v>0.28653351599999999</v>
      </c>
      <c r="AS121" s="450">
        <v>30</v>
      </c>
      <c r="AT121" s="450">
        <v>6.1041960000000001E-3</v>
      </c>
      <c r="AU121" s="450">
        <v>3.5172873E-2</v>
      </c>
      <c r="AV121" s="450">
        <v>0.32099444799999999</v>
      </c>
      <c r="AW121" s="450">
        <v>-8.9952811999999993E-2</v>
      </c>
      <c r="AX121" s="450">
        <v>0.28053335000000001</v>
      </c>
      <c r="AY121" s="450">
        <v>30</v>
      </c>
      <c r="AZ121" s="450">
        <v>6.4262340000000003E-3</v>
      </c>
      <c r="BA121" s="450">
        <v>4.0667342000000002E-2</v>
      </c>
      <c r="BB121" s="450">
        <v>0.28523255600000003</v>
      </c>
      <c r="BC121" s="450">
        <v>-5.409117556</v>
      </c>
      <c r="BD121" s="450">
        <v>7.0067123740000001</v>
      </c>
      <c r="BE121" s="450">
        <v>30</v>
      </c>
      <c r="BF121" s="450">
        <v>0.117702337</v>
      </c>
      <c r="BG121" s="450">
        <v>2.1869724E-2</v>
      </c>
      <c r="BH121" s="450">
        <v>0.43546178299999999</v>
      </c>
      <c r="BI121" s="450">
        <v>-9.720683116</v>
      </c>
      <c r="BJ121" s="450">
        <v>6.9726014950000001</v>
      </c>
      <c r="BK121" s="450">
        <v>30</v>
      </c>
      <c r="BL121" s="450">
        <v>0.117266916</v>
      </c>
      <c r="BM121" s="450">
        <v>2.1921133999999998E-2</v>
      </c>
      <c r="BN121" s="450">
        <v>0.43491665899999998</v>
      </c>
      <c r="BO121" s="450">
        <v>1.1838723000000001E-2</v>
      </c>
      <c r="BP121" s="452">
        <v>1.8900000000000001E-7</v>
      </c>
      <c r="BQ121" s="450">
        <v>1.1812773E-2</v>
      </c>
      <c r="BR121" s="452">
        <v>1.6999999999999999E-7</v>
      </c>
      <c r="BS121" s="450">
        <v>1.1875116999999999E-2</v>
      </c>
      <c r="BT121" s="450">
        <v>4.2470199999999998E-3</v>
      </c>
      <c r="BU121" s="452">
        <v>1.9999999999999999E-7</v>
      </c>
      <c r="BV121" s="450">
        <v>4.242689E-3</v>
      </c>
      <c r="BW121" s="452">
        <v>2.0599999999999999E-7</v>
      </c>
      <c r="BX121" s="450">
        <v>4.1589310000000003E-3</v>
      </c>
      <c r="BY121" s="452">
        <v>4.8199999999999999E-5</v>
      </c>
      <c r="BZ121" s="452">
        <v>6.1E-9</v>
      </c>
      <c r="CA121" s="452">
        <v>4.8000000000000001E-5</v>
      </c>
      <c r="CB121" s="452">
        <v>5.2599999999999996E-9</v>
      </c>
      <c r="CC121" s="452">
        <v>4.7599999999999998E-5</v>
      </c>
      <c r="CD121" s="452">
        <v>4.6700000000000002E-6</v>
      </c>
      <c r="CE121" s="452">
        <v>7.1699999999999998E-9</v>
      </c>
      <c r="CF121" s="452">
        <v>4.6600000000000003E-6</v>
      </c>
      <c r="CG121" s="452">
        <v>6.8699999999999996E-9</v>
      </c>
      <c r="CH121" s="452">
        <v>4.3200000000000001E-6</v>
      </c>
      <c r="CI121" s="452">
        <v>9.1699999999999994E-8</v>
      </c>
      <c r="CJ121" s="452">
        <v>2.5099999999999998E-9</v>
      </c>
      <c r="CK121" s="452">
        <v>9.2200000000000005E-8</v>
      </c>
      <c r="CL121" s="452">
        <v>2.3800000000000001E-9</v>
      </c>
      <c r="CM121" s="452">
        <v>4.73E-8</v>
      </c>
      <c r="CN121" s="453">
        <v>45204.241666666669</v>
      </c>
      <c r="CO121" s="450">
        <v>1696510097</v>
      </c>
      <c r="CP121" s="450" t="s">
        <v>420</v>
      </c>
      <c r="CQ121" s="450" t="s">
        <v>416</v>
      </c>
      <c r="CR121" s="450" t="s">
        <v>415</v>
      </c>
      <c r="CS121" s="450">
        <v>2619</v>
      </c>
      <c r="CT121" s="450">
        <v>35.857999999999997</v>
      </c>
      <c r="CU121" s="450">
        <v>3.3500000000000001E-3</v>
      </c>
      <c r="CV121" s="450">
        <v>2</v>
      </c>
      <c r="CW121" s="452">
        <v>2.4599999999999999E-8</v>
      </c>
      <c r="CX121" s="452">
        <v>9.5200000000000005E-8</v>
      </c>
      <c r="CY121" s="450">
        <v>3</v>
      </c>
      <c r="CZ121" s="450">
        <v>30</v>
      </c>
      <c r="DA121" s="452">
        <v>2.65E-7</v>
      </c>
      <c r="DB121" s="452">
        <v>6.0300000000000004E-8</v>
      </c>
      <c r="DC121" s="450">
        <v>0.14252319999999999</v>
      </c>
      <c r="DD121" s="452">
        <v>5.8000000000000003E-8</v>
      </c>
      <c r="DE121" s="452">
        <v>5.1499999999999998E-8</v>
      </c>
      <c r="DF121" s="452">
        <v>4.5599999999999998E-8</v>
      </c>
      <c r="DG121" s="452">
        <v>2.8000000000000002E-12</v>
      </c>
      <c r="DH121" s="452">
        <v>2.4799999999999999E-12</v>
      </c>
      <c r="DI121" s="452">
        <v>2.1999999999999999E-12</v>
      </c>
      <c r="DJ121" s="450">
        <v>-1.151271081</v>
      </c>
      <c r="DK121" s="450">
        <v>-0.58217675300000005</v>
      </c>
      <c r="DL121" s="450">
        <v>-0.10339530199999999</v>
      </c>
      <c r="DM121" s="452">
        <v>-4.5599999999999998E-10</v>
      </c>
      <c r="DN121" s="452">
        <v>-4.4099999999999998E-10</v>
      </c>
      <c r="DO121" s="450">
        <v>1.3691485E-2</v>
      </c>
      <c r="DP121" s="450">
        <v>-8.2639684750000004</v>
      </c>
      <c r="DQ121" s="450">
        <v>-5.7709889649999999</v>
      </c>
      <c r="DR121" s="450">
        <v>0.65530669799999997</v>
      </c>
      <c r="DS121" s="450">
        <v>0.44022646700000001</v>
      </c>
      <c r="DT121" s="451">
        <f>SQRT((0.0391*10^6)/(DR121-0.154))-273.15</f>
        <v>6.1279352795766613</v>
      </c>
      <c r="DV121" s="445" t="s">
        <v>445</v>
      </c>
    </row>
    <row r="122" spans="1:126" s="450" customFormat="1" x14ac:dyDescent="0.2">
      <c r="A122" s="450">
        <v>2027</v>
      </c>
      <c r="B122" s="450" t="s">
        <v>444</v>
      </c>
      <c r="C122" s="450">
        <v>7810</v>
      </c>
      <c r="D122" s="450" t="s">
        <v>430</v>
      </c>
      <c r="E122" s="450">
        <v>1</v>
      </c>
      <c r="F122" s="450" t="s">
        <v>418</v>
      </c>
      <c r="G122" s="450">
        <v>-7.9586929150000003</v>
      </c>
      <c r="H122" s="450">
        <v>5.2569189999999997E-3</v>
      </c>
      <c r="I122" s="450">
        <v>30</v>
      </c>
      <c r="J122" s="452">
        <v>3.82E-5</v>
      </c>
      <c r="K122" s="450">
        <v>4.0963040000000003E-3</v>
      </c>
      <c r="L122" s="450">
        <v>0.73686742299999997</v>
      </c>
      <c r="M122" s="450">
        <v>-6.5062070790000002</v>
      </c>
      <c r="N122" s="450">
        <v>1.1438999E-2</v>
      </c>
      <c r="O122" s="450">
        <v>30</v>
      </c>
      <c r="P122" s="450">
        <v>-7.7248200000000001E-4</v>
      </c>
      <c r="Q122" s="450">
        <v>0.35342886200000001</v>
      </c>
      <c r="R122" s="450">
        <v>5.31475E-4</v>
      </c>
      <c r="S122" s="450">
        <v>2.1461622490000001</v>
      </c>
      <c r="T122" s="450">
        <v>5.0185050000000004E-3</v>
      </c>
      <c r="U122" s="450">
        <v>30</v>
      </c>
      <c r="V122" s="452">
        <v>8.9099999999999994E-6</v>
      </c>
      <c r="W122" s="450">
        <v>2.4453499999999999E-4</v>
      </c>
      <c r="X122" s="450">
        <v>0.93463381000000001</v>
      </c>
      <c r="Y122" s="450">
        <v>0.90429689700000004</v>
      </c>
      <c r="Z122" s="450">
        <v>1.1514155999999999E-2</v>
      </c>
      <c r="AA122" s="450">
        <v>30</v>
      </c>
      <c r="AB122" s="450">
        <v>-7.7739699999999998E-4</v>
      </c>
      <c r="AC122" s="450">
        <v>0.35328338999999997</v>
      </c>
      <c r="AD122" s="450">
        <v>5.3324399999999999E-4</v>
      </c>
      <c r="AE122" s="450">
        <v>2.8597751499999999</v>
      </c>
      <c r="AF122" s="450">
        <v>7.3441451000000005E-2</v>
      </c>
      <c r="AG122" s="450">
        <v>30</v>
      </c>
      <c r="AH122" s="450">
        <v>-5.8203599999999997E-4</v>
      </c>
      <c r="AI122" s="450">
        <v>4.8676479999999996E-3</v>
      </c>
      <c r="AJ122" s="450">
        <v>0.71410596100000001</v>
      </c>
      <c r="AK122" s="450">
        <v>-0.245170051</v>
      </c>
      <c r="AL122" s="450">
        <v>7.5924323000000002E-2</v>
      </c>
      <c r="AM122" s="450">
        <v>30</v>
      </c>
      <c r="AN122" s="450">
        <v>1.7391800000000001E-4</v>
      </c>
      <c r="AO122" s="450">
        <v>4.0665900000000002E-4</v>
      </c>
      <c r="AP122" s="450">
        <v>0.91576503300000001</v>
      </c>
      <c r="AQ122" s="450">
        <v>1.5977617980000001</v>
      </c>
      <c r="AR122" s="450">
        <v>0.35533430500000002</v>
      </c>
      <c r="AS122" s="450">
        <v>30</v>
      </c>
      <c r="AT122" s="450">
        <v>-3.0149080000000002E-3</v>
      </c>
      <c r="AU122" s="450">
        <v>5.579245E-3</v>
      </c>
      <c r="AV122" s="450">
        <v>0.69484949600000001</v>
      </c>
      <c r="AW122" s="450">
        <v>-0.211246236</v>
      </c>
      <c r="AX122" s="450">
        <v>0.35939932600000002</v>
      </c>
      <c r="AY122" s="450">
        <v>30</v>
      </c>
      <c r="AZ122" s="450">
        <v>-1.4562780000000001E-3</v>
      </c>
      <c r="BA122" s="450">
        <v>1.2724349999999999E-3</v>
      </c>
      <c r="BB122" s="450">
        <v>0.85155354599999999</v>
      </c>
      <c r="BC122" s="450">
        <v>-9.3983102780000003</v>
      </c>
      <c r="BD122" s="450">
        <v>8.2583140789999998</v>
      </c>
      <c r="BE122" s="450">
        <v>30</v>
      </c>
      <c r="BF122" s="450">
        <v>2.6910480000000001E-2</v>
      </c>
      <c r="BG122" s="450">
        <v>8.2292800000000001E-4</v>
      </c>
      <c r="BH122" s="450">
        <v>0.88038757599999995</v>
      </c>
      <c r="BI122" s="450">
        <v>-13.413960510000001</v>
      </c>
      <c r="BJ122" s="450">
        <v>8.219759389</v>
      </c>
      <c r="BK122" s="450">
        <v>30</v>
      </c>
      <c r="BL122" s="450">
        <v>2.8299408000000002E-2</v>
      </c>
      <c r="BM122" s="450">
        <v>9.1862499999999995E-4</v>
      </c>
      <c r="BN122" s="450">
        <v>0.87367629800000002</v>
      </c>
      <c r="BO122" s="450">
        <v>1.1840028000000001E-2</v>
      </c>
      <c r="BP122" s="452">
        <v>1.15E-7</v>
      </c>
      <c r="BQ122" s="450">
        <v>1.1814672E-2</v>
      </c>
      <c r="BR122" s="452">
        <v>1.18E-7</v>
      </c>
      <c r="BS122" s="450">
        <v>1.1874516999999999E-2</v>
      </c>
      <c r="BT122" s="450">
        <v>4.2479390000000001E-3</v>
      </c>
      <c r="BU122" s="452">
        <v>7.9399999999999996E-8</v>
      </c>
      <c r="BV122" s="450">
        <v>4.2441010000000001E-3</v>
      </c>
      <c r="BW122" s="452">
        <v>5.5099999999999997E-8</v>
      </c>
      <c r="BX122" s="450">
        <v>4.158447E-3</v>
      </c>
      <c r="BY122" s="452">
        <v>4.8300000000000002E-5</v>
      </c>
      <c r="BZ122" s="452">
        <v>4.0899999999999997E-9</v>
      </c>
      <c r="CA122" s="452">
        <v>4.8199999999999999E-5</v>
      </c>
      <c r="CB122" s="452">
        <v>4.0599999999999996E-9</v>
      </c>
      <c r="CC122" s="452">
        <v>4.7599999999999998E-5</v>
      </c>
      <c r="CD122" s="452">
        <v>4.6800000000000001E-6</v>
      </c>
      <c r="CE122" s="452">
        <v>7.1099999999999996E-9</v>
      </c>
      <c r="CF122" s="452">
        <v>4.6700000000000002E-6</v>
      </c>
      <c r="CG122" s="452">
        <v>7.1699999999999998E-9</v>
      </c>
      <c r="CH122" s="452">
        <v>4.3200000000000001E-6</v>
      </c>
      <c r="CI122" s="452">
        <v>9.2200000000000005E-8</v>
      </c>
      <c r="CJ122" s="452">
        <v>2.3899999999999998E-9</v>
      </c>
      <c r="CK122" s="452">
        <v>9.3100000000000006E-8</v>
      </c>
      <c r="CL122" s="452">
        <v>2.3499999999999999E-9</v>
      </c>
      <c r="CM122" s="452">
        <v>4.7099999999999998E-8</v>
      </c>
      <c r="CN122" s="453">
        <v>45205.24722222222</v>
      </c>
      <c r="CO122" s="450">
        <v>1696596974</v>
      </c>
      <c r="CP122" s="450" t="s">
        <v>420</v>
      </c>
      <c r="CQ122" s="450" t="s">
        <v>416</v>
      </c>
      <c r="CR122" s="450" t="s">
        <v>415</v>
      </c>
      <c r="CS122" s="450">
        <v>2535</v>
      </c>
      <c r="CT122" s="450">
        <v>33.294519999999999</v>
      </c>
      <c r="CU122" s="450">
        <v>2.6800000000000001E-3</v>
      </c>
      <c r="CV122" s="450">
        <v>2</v>
      </c>
      <c r="CW122" s="452">
        <v>2.6499999999999999E-8</v>
      </c>
      <c r="CX122" s="452">
        <v>1.03E-7</v>
      </c>
      <c r="CY122" s="450">
        <v>3</v>
      </c>
      <c r="CZ122" s="450">
        <v>30</v>
      </c>
      <c r="DA122" s="452">
        <v>2.65E-7</v>
      </c>
      <c r="DB122" s="452">
        <v>5.8600000000000002E-8</v>
      </c>
      <c r="DC122" s="450">
        <v>0.22886570000000001</v>
      </c>
      <c r="DD122" s="452">
        <v>5.6500000000000003E-8</v>
      </c>
      <c r="DE122" s="452">
        <v>5.03E-8</v>
      </c>
      <c r="DF122" s="452">
        <v>4.4500000000000001E-8</v>
      </c>
      <c r="DG122" s="452">
        <v>2.7299999999999999E-12</v>
      </c>
      <c r="DH122" s="452">
        <v>2.4299999999999999E-12</v>
      </c>
      <c r="DI122" s="452">
        <v>2.1499999999999999E-12</v>
      </c>
      <c r="DJ122" s="450">
        <v>-1.051259494</v>
      </c>
      <c r="DK122" s="450">
        <v>-0.51379456800000001</v>
      </c>
      <c r="DL122" s="450">
        <v>-7.3074953999999998E-2</v>
      </c>
      <c r="DM122" s="452">
        <v>-4.2E-10</v>
      </c>
      <c r="DN122" s="452">
        <v>-4.2800000000000002E-10</v>
      </c>
      <c r="DO122" s="450">
        <v>1.3133933E-2</v>
      </c>
      <c r="DP122" s="450">
        <v>-8.3134577329999999</v>
      </c>
      <c r="DQ122" s="450">
        <v>-5.8862439220000002</v>
      </c>
      <c r="DR122" s="450">
        <v>0.64862907599999997</v>
      </c>
      <c r="DS122" s="450">
        <v>0.222228075</v>
      </c>
      <c r="DT122" s="451">
        <f>SQRT((0.0391*10^6)/(DR122-0.154))-273.15</f>
        <v>8.0067779364247826</v>
      </c>
    </row>
    <row r="123" spans="1:126" s="446" customFormat="1" ht="34" x14ac:dyDescent="0.2">
      <c r="A123" s="446">
        <v>2046</v>
      </c>
      <c r="B123" s="446" t="s">
        <v>443</v>
      </c>
      <c r="C123" s="446">
        <v>7810</v>
      </c>
      <c r="D123" s="446" t="s">
        <v>430</v>
      </c>
      <c r="E123" s="446">
        <v>1</v>
      </c>
      <c r="F123" s="446" t="s">
        <v>418</v>
      </c>
      <c r="G123" s="446">
        <v>-7.9737671859999999</v>
      </c>
      <c r="H123" s="446">
        <v>6.0962200000000003E-3</v>
      </c>
      <c r="I123" s="446">
        <v>30</v>
      </c>
      <c r="J123" s="448">
        <v>3.8399999999999997E-6</v>
      </c>
      <c r="K123" s="448">
        <v>3.0800000000000003E-5</v>
      </c>
      <c r="L123" s="446">
        <v>0.97677658300000003</v>
      </c>
      <c r="M123" s="446">
        <v>-6.5408709829999996</v>
      </c>
      <c r="N123" s="446">
        <v>1.7942238999999999E-2</v>
      </c>
      <c r="O123" s="446">
        <v>30</v>
      </c>
      <c r="P123" s="446">
        <v>-1.808984E-3</v>
      </c>
      <c r="Q123" s="446">
        <v>0.78780312399999997</v>
      </c>
      <c r="R123" s="448">
        <v>6.2599999999999996E-11</v>
      </c>
      <c r="S123" s="446">
        <v>2.1307210300000001</v>
      </c>
      <c r="T123" s="446">
        <v>5.8255420000000004E-3</v>
      </c>
      <c r="U123" s="446">
        <v>30</v>
      </c>
      <c r="V123" s="448">
        <v>-5.9899999999999999E-5</v>
      </c>
      <c r="W123" s="446">
        <v>8.2060080000000007E-3</v>
      </c>
      <c r="X123" s="446">
        <v>0.63402912899999997</v>
      </c>
      <c r="Y123" s="446">
        <v>0.869377026</v>
      </c>
      <c r="Z123" s="446">
        <v>1.8059088000000001E-2</v>
      </c>
      <c r="AA123" s="446">
        <v>30</v>
      </c>
      <c r="AB123" s="446">
        <v>-1.8206749999999999E-3</v>
      </c>
      <c r="AC123" s="446">
        <v>0.78772551999999996</v>
      </c>
      <c r="AD123" s="448">
        <v>6.3000000000000002E-11</v>
      </c>
      <c r="AE123" s="446">
        <v>2.8400782859999998</v>
      </c>
      <c r="AF123" s="446">
        <v>8.7752859000000002E-2</v>
      </c>
      <c r="AG123" s="446">
        <v>30</v>
      </c>
      <c r="AH123" s="446">
        <v>-7.2052800000000001E-4</v>
      </c>
      <c r="AI123" s="446">
        <v>5.2249330000000002E-3</v>
      </c>
      <c r="AJ123" s="446">
        <v>0.70425103200000005</v>
      </c>
      <c r="AK123" s="446">
        <v>-0.214621021</v>
      </c>
      <c r="AL123" s="446">
        <v>8.7801253999999995E-2</v>
      </c>
      <c r="AM123" s="446">
        <v>30</v>
      </c>
      <c r="AN123" s="446">
        <v>1.131242E-3</v>
      </c>
      <c r="AO123" s="446">
        <v>1.2865036E-2</v>
      </c>
      <c r="AP123" s="446">
        <v>0.55065237600000005</v>
      </c>
      <c r="AQ123" s="446">
        <v>1.7789035879999999</v>
      </c>
      <c r="AR123" s="446">
        <v>0.219336474</v>
      </c>
      <c r="AS123" s="446">
        <v>30</v>
      </c>
      <c r="AT123" s="446">
        <v>-5.0890750000000002E-3</v>
      </c>
      <c r="AU123" s="446">
        <v>4.1721282999999998E-2</v>
      </c>
      <c r="AV123" s="446">
        <v>0.27894435299999998</v>
      </c>
      <c r="AW123" s="446">
        <v>3.9343887000000001E-2</v>
      </c>
      <c r="AX123" s="446">
        <v>0.213669532</v>
      </c>
      <c r="AY123" s="446">
        <v>30</v>
      </c>
      <c r="AZ123" s="446">
        <v>-1.441878E-3</v>
      </c>
      <c r="BA123" s="446">
        <v>3.5291760000000002E-3</v>
      </c>
      <c r="BB123" s="446">
        <v>0.75516650500000004</v>
      </c>
      <c r="BC123" s="446">
        <v>1.526919063</v>
      </c>
      <c r="BD123" s="446">
        <v>7.9009372989999997</v>
      </c>
      <c r="BE123" s="446">
        <v>30</v>
      </c>
      <c r="BF123" s="446">
        <v>-0.13751681399999999</v>
      </c>
      <c r="BG123" s="446">
        <v>2.3477728999999999E-2</v>
      </c>
      <c r="BH123" s="446">
        <v>0.41887523199999999</v>
      </c>
      <c r="BI123" s="446">
        <v>-2.4482447070000002</v>
      </c>
      <c r="BJ123" s="446">
        <v>7.8652988300000004</v>
      </c>
      <c r="BK123" s="446">
        <v>30</v>
      </c>
      <c r="BL123" s="446">
        <v>-0.13333457900000001</v>
      </c>
      <c r="BM123" s="446">
        <v>2.2271877999999998E-2</v>
      </c>
      <c r="BN123" s="446">
        <v>0.43122438899999999</v>
      </c>
      <c r="BO123" s="446">
        <v>1.1839496E-2</v>
      </c>
      <c r="BP123" s="448">
        <v>2.9200000000000002E-7</v>
      </c>
      <c r="BQ123" s="446">
        <v>1.1814323E-2</v>
      </c>
      <c r="BR123" s="448">
        <v>2.8099999999999999E-7</v>
      </c>
      <c r="BS123" s="446">
        <v>1.1874334E-2</v>
      </c>
      <c r="BT123" s="446">
        <v>4.2476900000000001E-3</v>
      </c>
      <c r="BU123" s="448">
        <v>2.4499999999999998E-7</v>
      </c>
      <c r="BV123" s="446">
        <v>4.2440009999999998E-3</v>
      </c>
      <c r="BW123" s="448">
        <v>1.7499999999999999E-7</v>
      </c>
      <c r="BX123" s="446">
        <v>4.158302E-3</v>
      </c>
      <c r="BY123" s="448">
        <v>4.8300000000000002E-5</v>
      </c>
      <c r="BZ123" s="448">
        <v>5.7299999999999999E-9</v>
      </c>
      <c r="CA123" s="448">
        <v>4.8199999999999999E-5</v>
      </c>
      <c r="CB123" s="448">
        <v>5.3899999999999998E-9</v>
      </c>
      <c r="CC123" s="448">
        <v>4.7599999999999998E-5</v>
      </c>
      <c r="CD123" s="448">
        <v>4.6999999999999999E-6</v>
      </c>
      <c r="CE123" s="448">
        <v>7.8500000000000008E-9</v>
      </c>
      <c r="CF123" s="448">
        <v>4.69E-6</v>
      </c>
      <c r="CG123" s="448">
        <v>8.0100000000000003E-9</v>
      </c>
      <c r="CH123" s="448">
        <v>4.3200000000000001E-6</v>
      </c>
      <c r="CI123" s="448">
        <v>9.9400000000000003E-8</v>
      </c>
      <c r="CJ123" s="448">
        <v>3.0600000000000002E-9</v>
      </c>
      <c r="CK123" s="448">
        <v>9.9200000000000002E-8</v>
      </c>
      <c r="CL123" s="448">
        <v>3.1500000000000001E-9</v>
      </c>
      <c r="CM123" s="448">
        <v>4.7600000000000003E-8</v>
      </c>
      <c r="CN123" s="449">
        <v>45206.473611111112</v>
      </c>
      <c r="CO123" s="446">
        <v>1696702945</v>
      </c>
      <c r="CP123" s="446" t="s">
        <v>422</v>
      </c>
      <c r="CQ123" s="446" t="s">
        <v>416</v>
      </c>
      <c r="CR123" s="446" t="s">
        <v>415</v>
      </c>
      <c r="CS123" s="446">
        <v>2511</v>
      </c>
      <c r="CT123" s="446">
        <v>28.777920000000002</v>
      </c>
      <c r="CU123" s="446">
        <v>3.0000000000000001E-3</v>
      </c>
      <c r="CV123" s="446">
        <v>2</v>
      </c>
      <c r="CW123" s="448">
        <v>2.4299999999999999E-8</v>
      </c>
      <c r="CX123" s="448">
        <v>9.5200000000000005E-8</v>
      </c>
      <c r="CY123" s="446">
        <v>3</v>
      </c>
      <c r="CZ123" s="446">
        <v>30</v>
      </c>
      <c r="DA123" s="448">
        <v>2.65E-7</v>
      </c>
      <c r="DB123" s="448">
        <v>5.0699999999999997E-8</v>
      </c>
      <c r="DC123" s="446">
        <v>0.24350730000000001</v>
      </c>
      <c r="DD123" s="448">
        <v>4.8900000000000001E-8</v>
      </c>
      <c r="DE123" s="448">
        <v>4.3399999999999998E-8</v>
      </c>
      <c r="DF123" s="448">
        <v>3.8500000000000001E-8</v>
      </c>
      <c r="DG123" s="448">
        <v>2.36E-12</v>
      </c>
      <c r="DH123" s="448">
        <v>2.0999999999999999E-12</v>
      </c>
      <c r="DI123" s="448">
        <v>1.8600000000000002E-12</v>
      </c>
      <c r="DJ123" s="446">
        <v>-1.5168498690000001</v>
      </c>
      <c r="DK123" s="446">
        <v>-0.81899408200000001</v>
      </c>
      <c r="DL123" s="446">
        <v>-0.12155363800000001</v>
      </c>
      <c r="DM123" s="448">
        <v>-3.8500000000000001E-10</v>
      </c>
      <c r="DN123" s="448">
        <v>-3.6099999999999999E-10</v>
      </c>
      <c r="DO123" s="446">
        <v>1.1460741E-2</v>
      </c>
      <c r="DP123" s="446">
        <v>-8.3285761189999992</v>
      </c>
      <c r="DQ123" s="446">
        <v>-5.9208005430000004</v>
      </c>
      <c r="DR123" s="446">
        <v>0.680349396</v>
      </c>
      <c r="DS123" s="446">
        <v>0.65637783999999999</v>
      </c>
      <c r="DT123" s="447">
        <f>SQRT((0.0391*10^6)/(DR123-0.154))-273.15</f>
        <v>-0.59678187907121583</v>
      </c>
      <c r="DV123" s="445" t="s">
        <v>442</v>
      </c>
    </row>
    <row r="124" spans="1:126" x14ac:dyDescent="0.2">
      <c r="J124" s="423"/>
      <c r="K124" s="423"/>
      <c r="R124" s="423"/>
      <c r="V124" s="423"/>
      <c r="AD124" s="423"/>
      <c r="BP124" s="423"/>
      <c r="BR124" s="423"/>
      <c r="BU124" s="423"/>
      <c r="BW124" s="423"/>
      <c r="BY124" s="423"/>
      <c r="BZ124" s="423"/>
      <c r="CA124" s="423"/>
      <c r="CB124" s="423"/>
      <c r="CC124" s="423"/>
      <c r="CD124" s="423"/>
      <c r="CE124" s="423"/>
      <c r="CF124" s="423"/>
      <c r="CG124" s="423"/>
      <c r="CH124" s="423"/>
      <c r="CI124" s="423"/>
      <c r="CJ124" s="423"/>
      <c r="CK124" s="423"/>
      <c r="CL124" s="423"/>
      <c r="CM124" s="423"/>
      <c r="CN124" s="424"/>
      <c r="CW124" s="423"/>
      <c r="CX124" s="423"/>
      <c r="DA124" s="423"/>
      <c r="DB124" s="423"/>
      <c r="DD124" s="423"/>
      <c r="DE124" s="423"/>
      <c r="DF124" s="423"/>
      <c r="DG124" s="423"/>
      <c r="DH124" s="423"/>
      <c r="DI124" s="423"/>
      <c r="DM124" s="423"/>
      <c r="DN124" s="423"/>
      <c r="DO124" s="425" t="s">
        <v>437</v>
      </c>
      <c r="DP124" s="425">
        <f>AVERAGE(DP121:DP123)</f>
        <v>-8.3020007756666647</v>
      </c>
      <c r="DQ124" s="425">
        <f>AVERAGE(DQ121:DQ123)</f>
        <v>-5.8593444766666662</v>
      </c>
      <c r="DR124" s="425">
        <f>AVERAGE(DR121:DR123)</f>
        <v>0.66142838999999998</v>
      </c>
      <c r="DS124" s="425">
        <f>AVERAGE(DS121:DS123)</f>
        <v>0.43961079400000003</v>
      </c>
      <c r="DT124" s="440">
        <f>AVERAGE(DT121:DT123)</f>
        <v>4.5126437789767424</v>
      </c>
    </row>
    <row r="125" spans="1:126" x14ac:dyDescent="0.2">
      <c r="J125" s="423"/>
      <c r="K125" s="423"/>
      <c r="R125" s="423"/>
      <c r="V125" s="423"/>
      <c r="AD125" s="423"/>
      <c r="BP125" s="423"/>
      <c r="BR125" s="423"/>
      <c r="BU125" s="423"/>
      <c r="BW125" s="423"/>
      <c r="BY125" s="423"/>
      <c r="BZ125" s="423"/>
      <c r="CA125" s="423"/>
      <c r="CB125" s="423"/>
      <c r="CC125" s="423"/>
      <c r="CD125" s="423"/>
      <c r="CE125" s="423"/>
      <c r="CF125" s="423"/>
      <c r="CG125" s="423"/>
      <c r="CH125" s="423"/>
      <c r="CI125" s="423"/>
      <c r="CJ125" s="423"/>
      <c r="CK125" s="423"/>
      <c r="CL125" s="423"/>
      <c r="CM125" s="423"/>
      <c r="CN125" s="424"/>
      <c r="CW125" s="423"/>
      <c r="CX125" s="423"/>
      <c r="DA125" s="423"/>
      <c r="DB125" s="423"/>
      <c r="DD125" s="423"/>
      <c r="DE125" s="423"/>
      <c r="DF125" s="423"/>
      <c r="DG125" s="423"/>
      <c r="DH125" s="423"/>
      <c r="DI125" s="423"/>
      <c r="DM125" s="423"/>
      <c r="DN125" s="423"/>
      <c r="DO125" s="425" t="s">
        <v>394</v>
      </c>
      <c r="DP125" s="425">
        <f>STDEV(DP121:DP123)</f>
        <v>3.3793243693244511E-2</v>
      </c>
      <c r="DQ125" s="425">
        <f>STDEV(DQ121:DQ123)</f>
        <v>7.8444645101774138E-2</v>
      </c>
      <c r="DR125" s="425">
        <f>STDEV(DR121:DR123)</f>
        <v>1.6722769206466627E-2</v>
      </c>
      <c r="DS125" s="425">
        <f>STDEV(DS121:DS123)</f>
        <v>0.21707553731897322</v>
      </c>
      <c r="DT125" s="425">
        <f>STDEV(DT121:DT123)</f>
        <v>4.5235147118846806</v>
      </c>
    </row>
    <row r="126" spans="1:126" x14ac:dyDescent="0.2">
      <c r="J126" s="423"/>
      <c r="K126" s="423"/>
      <c r="R126" s="423"/>
      <c r="V126" s="423"/>
      <c r="AD126" s="423"/>
      <c r="BP126" s="423"/>
      <c r="BR126" s="423"/>
      <c r="BU126" s="423"/>
      <c r="BW126" s="423"/>
      <c r="BY126" s="423"/>
      <c r="BZ126" s="423"/>
      <c r="CA126" s="423"/>
      <c r="CB126" s="423"/>
      <c r="CC126" s="423"/>
      <c r="CD126" s="423"/>
      <c r="CE126" s="423"/>
      <c r="CF126" s="423"/>
      <c r="CG126" s="423"/>
      <c r="CH126" s="423"/>
      <c r="CI126" s="423"/>
      <c r="CJ126" s="423"/>
      <c r="CK126" s="423"/>
      <c r="CL126" s="423"/>
      <c r="CM126" s="423"/>
      <c r="CN126" s="424"/>
      <c r="CW126" s="423"/>
      <c r="CX126" s="423"/>
      <c r="DA126" s="423"/>
      <c r="DB126" s="423"/>
      <c r="DD126" s="423"/>
      <c r="DE126" s="423"/>
      <c r="DF126" s="423"/>
      <c r="DG126" s="423"/>
      <c r="DH126" s="423"/>
      <c r="DI126" s="423"/>
      <c r="DM126" s="423"/>
      <c r="DN126" s="423"/>
      <c r="DO126" s="425" t="s">
        <v>436</v>
      </c>
      <c r="DP126" s="425">
        <f>DP125/SQRT(4)</f>
        <v>1.6896621846622255E-2</v>
      </c>
      <c r="DQ126" s="425">
        <f>DQ125/SQRT(4)</f>
        <v>3.9222322550887069E-2</v>
      </c>
      <c r="DR126" s="425">
        <f>DR125/SQRT(4)</f>
        <v>8.3613846032333135E-3</v>
      </c>
      <c r="DS126" s="425">
        <f>DS125/SQRT(4)</f>
        <v>0.10853776865948661</v>
      </c>
      <c r="DT126" s="425">
        <f>DT125/SQRT(4)</f>
        <v>2.2617573559423403</v>
      </c>
    </row>
    <row r="127" spans="1:126" x14ac:dyDescent="0.2">
      <c r="J127" s="423"/>
      <c r="K127" s="423"/>
      <c r="R127" s="423"/>
      <c r="V127" s="423"/>
      <c r="AD127" s="423"/>
      <c r="BP127" s="423"/>
      <c r="BR127" s="423"/>
      <c r="BU127" s="423"/>
      <c r="BW127" s="423"/>
      <c r="BY127" s="423"/>
      <c r="BZ127" s="423"/>
      <c r="CA127" s="423"/>
      <c r="CB127" s="423"/>
      <c r="CC127" s="423"/>
      <c r="CD127" s="423"/>
      <c r="CE127" s="423"/>
      <c r="CF127" s="423"/>
      <c r="CG127" s="423"/>
      <c r="CH127" s="423"/>
      <c r="CI127" s="423"/>
      <c r="CJ127" s="423"/>
      <c r="CK127" s="423"/>
      <c r="CL127" s="423"/>
      <c r="CM127" s="423"/>
      <c r="CN127" s="424"/>
      <c r="CW127" s="423"/>
      <c r="CX127" s="423"/>
      <c r="DA127" s="423"/>
      <c r="DB127" s="423"/>
      <c r="DD127" s="423"/>
      <c r="DE127" s="423"/>
      <c r="DF127" s="423"/>
      <c r="DG127" s="423"/>
      <c r="DH127" s="423"/>
      <c r="DI127" s="423"/>
      <c r="DM127" s="423"/>
      <c r="DN127" s="423"/>
      <c r="DT127" s="427"/>
    </row>
    <row r="128" spans="1:126" s="441" customFormat="1" x14ac:dyDescent="0.2">
      <c r="A128" s="441">
        <v>2012</v>
      </c>
      <c r="B128" s="441" t="s">
        <v>441</v>
      </c>
      <c r="C128" s="441">
        <v>8170</v>
      </c>
      <c r="D128" s="441" t="s">
        <v>430</v>
      </c>
      <c r="E128" s="441">
        <v>1</v>
      </c>
      <c r="F128" s="441" t="s">
        <v>418</v>
      </c>
      <c r="G128" s="441">
        <v>-8.1492722289999993</v>
      </c>
      <c r="H128" s="441">
        <v>5.4687549999999996E-3</v>
      </c>
      <c r="I128" s="441">
        <v>30</v>
      </c>
      <c r="J128" s="443">
        <v>8.7600000000000002E-5</v>
      </c>
      <c r="K128" s="441">
        <v>1.9880256999999998E-2</v>
      </c>
      <c r="L128" s="441">
        <v>0.45737026800000002</v>
      </c>
      <c r="M128" s="441">
        <v>-6.2537315700000002</v>
      </c>
      <c r="N128" s="441">
        <v>8.841224E-3</v>
      </c>
      <c r="O128" s="441">
        <v>30</v>
      </c>
      <c r="P128" s="441">
        <v>-3.6911499999999999E-4</v>
      </c>
      <c r="Q128" s="441">
        <v>0.135082796</v>
      </c>
      <c r="R128" s="441">
        <v>4.5706546000000001E-2</v>
      </c>
      <c r="S128" s="441">
        <v>1.9752162820000001</v>
      </c>
      <c r="T128" s="441">
        <v>5.1427280000000001E-3</v>
      </c>
      <c r="U128" s="441">
        <v>30</v>
      </c>
      <c r="V128" s="443">
        <v>6.97E-5</v>
      </c>
      <c r="W128" s="441">
        <v>1.4224797000000001E-2</v>
      </c>
      <c r="X128" s="441">
        <v>0.53017065500000005</v>
      </c>
      <c r="Y128" s="441">
        <v>1.158003396</v>
      </c>
      <c r="Z128" s="441">
        <v>8.8974229999999998E-3</v>
      </c>
      <c r="AA128" s="441">
        <v>30</v>
      </c>
      <c r="AB128" s="441">
        <v>-3.7131700000000002E-4</v>
      </c>
      <c r="AC128" s="441">
        <v>0.13497818</v>
      </c>
      <c r="AD128" s="441">
        <v>4.5796912000000002E-2</v>
      </c>
      <c r="AE128" s="441">
        <v>2.9278939949999998</v>
      </c>
      <c r="AF128" s="441">
        <v>8.0324096999999997E-2</v>
      </c>
      <c r="AG128" s="441">
        <v>30</v>
      </c>
      <c r="AH128" s="441">
        <v>-3.2877409999999998E-3</v>
      </c>
      <c r="AI128" s="441">
        <v>0.12983901</v>
      </c>
      <c r="AJ128" s="441">
        <v>5.0461560000000003E-2</v>
      </c>
      <c r="AK128" s="441">
        <v>-0.25035032000000002</v>
      </c>
      <c r="AL128" s="441">
        <v>7.9045351E-2</v>
      </c>
      <c r="AM128" s="441">
        <v>30</v>
      </c>
      <c r="AN128" s="441">
        <v>-2.9845840000000002E-3</v>
      </c>
      <c r="AO128" s="441">
        <v>0.110488401</v>
      </c>
      <c r="AP128" s="441">
        <v>7.2704642999999999E-2</v>
      </c>
      <c r="AQ128" s="441">
        <v>2.0904400139999999</v>
      </c>
      <c r="AR128" s="441">
        <v>0.288440686</v>
      </c>
      <c r="AS128" s="441">
        <v>30</v>
      </c>
      <c r="AT128" s="441">
        <v>1.2037199E-2</v>
      </c>
      <c r="AU128" s="441">
        <v>0.134970707</v>
      </c>
      <c r="AV128" s="441">
        <v>4.5803374000000001E-2</v>
      </c>
      <c r="AW128" s="441">
        <v>-0.22636374200000001</v>
      </c>
      <c r="AX128" s="441">
        <v>0.29297830699999999</v>
      </c>
      <c r="AY128" s="441">
        <v>30</v>
      </c>
      <c r="AZ128" s="441">
        <v>1.2750836999999999E-2</v>
      </c>
      <c r="BA128" s="441">
        <v>0.14679394800000001</v>
      </c>
      <c r="BB128" s="441">
        <v>3.6630470999999998E-2</v>
      </c>
      <c r="BC128" s="441">
        <v>-9.4309873829999997</v>
      </c>
      <c r="BD128" s="441">
        <v>8.8031513050000001</v>
      </c>
      <c r="BE128" s="441">
        <v>30</v>
      </c>
      <c r="BF128" s="441">
        <v>-0.14057173100000001</v>
      </c>
      <c r="BG128" s="441">
        <v>1.9761566000000001E-2</v>
      </c>
      <c r="BH128" s="441">
        <v>0.458729954</v>
      </c>
      <c r="BI128" s="441">
        <v>-13.758213749999999</v>
      </c>
      <c r="BJ128" s="441">
        <v>8.7668878699999997</v>
      </c>
      <c r="BK128" s="441">
        <v>30</v>
      </c>
      <c r="BL128" s="441">
        <v>-0.13931452799999999</v>
      </c>
      <c r="BM128" s="441">
        <v>1.9570575999999999E-2</v>
      </c>
      <c r="BN128" s="441">
        <v>0.46093099199999998</v>
      </c>
      <c r="BO128" s="441">
        <v>1.1836177999999999E-2</v>
      </c>
      <c r="BP128" s="443">
        <v>7.4099999999999995E-8</v>
      </c>
      <c r="BQ128" s="441">
        <v>1.1812845000000001E-2</v>
      </c>
      <c r="BR128" s="443">
        <v>5.47E-8</v>
      </c>
      <c r="BS128" s="441">
        <v>1.1872491000000001E-2</v>
      </c>
      <c r="BT128" s="441">
        <v>4.2480360000000002E-3</v>
      </c>
      <c r="BU128" s="443">
        <v>1.5800000000000001E-7</v>
      </c>
      <c r="BV128" s="441">
        <v>4.2431220000000002E-3</v>
      </c>
      <c r="BW128" s="443">
        <v>1.6899999999999999E-7</v>
      </c>
      <c r="BX128" s="441">
        <v>4.1595010000000003E-3</v>
      </c>
      <c r="BY128" s="443">
        <v>4.8199999999999999E-5</v>
      </c>
      <c r="BZ128" s="443">
        <v>5.7999999999999998E-9</v>
      </c>
      <c r="CA128" s="443">
        <v>4.8099999999999997E-5</v>
      </c>
      <c r="CB128" s="443">
        <v>6.65E-9</v>
      </c>
      <c r="CC128" s="443">
        <v>4.7599999999999998E-5</v>
      </c>
      <c r="CD128" s="443">
        <v>4.6700000000000002E-6</v>
      </c>
      <c r="CE128" s="443">
        <v>7.0999999999999999E-9</v>
      </c>
      <c r="CF128" s="443">
        <v>4.6600000000000003E-6</v>
      </c>
      <c r="CG128" s="443">
        <v>6.5599999999999997E-9</v>
      </c>
      <c r="CH128" s="443">
        <v>4.3200000000000001E-6</v>
      </c>
      <c r="CI128" s="443">
        <v>9.2000000000000003E-8</v>
      </c>
      <c r="CJ128" s="443">
        <v>2.4300000000000001E-9</v>
      </c>
      <c r="CK128" s="443">
        <v>9.2799999999999997E-8</v>
      </c>
      <c r="CL128" s="443">
        <v>2.5599999999999998E-9</v>
      </c>
      <c r="CM128" s="443">
        <v>4.7099999999999998E-8</v>
      </c>
      <c r="CN128" s="444">
        <v>45204.551388888889</v>
      </c>
      <c r="CO128" s="441">
        <v>1696536873</v>
      </c>
      <c r="CP128" s="441" t="s">
        <v>420</v>
      </c>
      <c r="CQ128" s="441" t="s">
        <v>416</v>
      </c>
      <c r="CR128" s="441" t="s">
        <v>415</v>
      </c>
      <c r="CS128" s="441">
        <v>2562</v>
      </c>
      <c r="CT128" s="441">
        <v>34.17953</v>
      </c>
      <c r="CU128" s="441">
        <v>2.9299999999999999E-3</v>
      </c>
      <c r="CV128" s="441">
        <v>2</v>
      </c>
      <c r="CW128" s="443">
        <v>2.9700000000000001E-8</v>
      </c>
      <c r="CX128" s="443">
        <v>1.05E-7</v>
      </c>
      <c r="CY128" s="441">
        <v>3</v>
      </c>
      <c r="CZ128" s="441">
        <v>30</v>
      </c>
      <c r="DA128" s="443">
        <v>2.65E-7</v>
      </c>
      <c r="DB128" s="443">
        <v>5.7299999999999997E-8</v>
      </c>
      <c r="DC128" s="441">
        <v>0.27095019999999997</v>
      </c>
      <c r="DD128" s="443">
        <v>5.5199999999999998E-8</v>
      </c>
      <c r="DE128" s="443">
        <v>4.9100000000000003E-8</v>
      </c>
      <c r="DF128" s="443">
        <v>4.36E-8</v>
      </c>
      <c r="DG128" s="443">
        <v>2.66E-12</v>
      </c>
      <c r="DH128" s="443">
        <v>2.3700000000000002E-12</v>
      </c>
      <c r="DI128" s="443">
        <v>2.0999999999999999E-12</v>
      </c>
      <c r="DJ128" s="441">
        <v>-0.990311999</v>
      </c>
      <c r="DK128" s="441">
        <v>-0.45940945900000002</v>
      </c>
      <c r="DL128" s="441">
        <v>9.4071309999999991E-3</v>
      </c>
      <c r="DM128" s="443">
        <v>-4.2399999999999998E-10</v>
      </c>
      <c r="DN128" s="443">
        <v>-4.0799999999999999E-10</v>
      </c>
      <c r="DO128" s="441">
        <v>1.3340955999999999E-2</v>
      </c>
      <c r="DP128" s="441">
        <v>-8.5045947860000002</v>
      </c>
      <c r="DQ128" s="441">
        <v>-5.6345498110000003</v>
      </c>
      <c r="DR128" s="441">
        <v>0.64333877299999997</v>
      </c>
      <c r="DS128" s="441">
        <v>0.210856974</v>
      </c>
      <c r="DT128" s="442">
        <f>SQRT((0.0391*10^6)/(DR128-0.154))-273.15</f>
        <v>9.5225029142681592</v>
      </c>
    </row>
    <row r="129" spans="1:126" s="441" customFormat="1" ht="34" x14ac:dyDescent="0.2">
      <c r="A129" s="441">
        <v>2024</v>
      </c>
      <c r="B129" s="441" t="s">
        <v>440</v>
      </c>
      <c r="C129" s="441">
        <v>8170</v>
      </c>
      <c r="D129" s="441" t="s">
        <v>430</v>
      </c>
      <c r="E129" s="441">
        <v>1</v>
      </c>
      <c r="F129" s="441" t="s">
        <v>418</v>
      </c>
      <c r="G129" s="441">
        <v>-8.1384413519999992</v>
      </c>
      <c r="H129" s="441">
        <v>5.6925070000000003E-3</v>
      </c>
      <c r="I129" s="441">
        <v>30</v>
      </c>
      <c r="J129" s="441">
        <v>3.1832099999999999E-4</v>
      </c>
      <c r="K129" s="441">
        <v>0.24234017799999999</v>
      </c>
      <c r="L129" s="441">
        <v>5.7205609999999999E-3</v>
      </c>
      <c r="M129" s="441">
        <v>-6.2059097510000001</v>
      </c>
      <c r="N129" s="441">
        <v>7.7620559999999998E-3</v>
      </c>
      <c r="O129" s="441">
        <v>30</v>
      </c>
      <c r="P129" s="441">
        <v>-2.19834E-4</v>
      </c>
      <c r="Q129" s="441">
        <v>6.2163623000000001E-2</v>
      </c>
      <c r="R129" s="441">
        <v>0.18395151700000001</v>
      </c>
      <c r="S129" s="441">
        <v>1.9871158769999999</v>
      </c>
      <c r="T129" s="441">
        <v>5.286771E-3</v>
      </c>
      <c r="U129" s="441">
        <v>30</v>
      </c>
      <c r="V129" s="441">
        <v>2.9262199999999998E-4</v>
      </c>
      <c r="W129" s="441">
        <v>0.23742976299999999</v>
      </c>
      <c r="X129" s="441">
        <v>6.3139160000000001E-3</v>
      </c>
      <c r="Y129" s="441">
        <v>1.2061573210000001</v>
      </c>
      <c r="Z129" s="441">
        <v>7.8082760000000003E-3</v>
      </c>
      <c r="AA129" s="441">
        <v>30</v>
      </c>
      <c r="AB129" s="441">
        <v>-2.2058399999999999E-4</v>
      </c>
      <c r="AC129" s="441">
        <v>6.1849982999999997E-2</v>
      </c>
      <c r="AD129" s="441">
        <v>0.18509814099999999</v>
      </c>
      <c r="AE129" s="441">
        <v>2.9633496109999999</v>
      </c>
      <c r="AF129" s="441">
        <v>5.9457942999999999E-2</v>
      </c>
      <c r="AG129" s="441">
        <v>30</v>
      </c>
      <c r="AH129" s="441">
        <v>1.2807649999999999E-3</v>
      </c>
      <c r="AI129" s="441">
        <v>3.5960104999999999E-2</v>
      </c>
      <c r="AJ129" s="441">
        <v>0.31554004600000002</v>
      </c>
      <c r="AK129" s="441">
        <v>-0.27452827000000002</v>
      </c>
      <c r="AL129" s="441">
        <v>6.0793555999999999E-2</v>
      </c>
      <c r="AM129" s="441">
        <v>30</v>
      </c>
      <c r="AN129" s="441">
        <v>1.191847E-3</v>
      </c>
      <c r="AO129" s="441">
        <v>2.9787052000000001E-2</v>
      </c>
      <c r="AP129" s="441">
        <v>0.36176205</v>
      </c>
      <c r="AQ129" s="441">
        <v>2.26646466</v>
      </c>
      <c r="AR129" s="441">
        <v>0.33122657700000002</v>
      </c>
      <c r="AS129" s="441">
        <v>30</v>
      </c>
      <c r="AT129" s="441">
        <v>1.8115503000000002E-2</v>
      </c>
      <c r="AU129" s="441">
        <v>0.23182066100000001</v>
      </c>
      <c r="AV129" s="441">
        <v>7.0636079999999999E-3</v>
      </c>
      <c r="AW129" s="441">
        <v>-0.14693177399999999</v>
      </c>
      <c r="AX129" s="441">
        <v>0.331372369</v>
      </c>
      <c r="AY129" s="441">
        <v>30</v>
      </c>
      <c r="AZ129" s="441">
        <v>1.8512469E-2</v>
      </c>
      <c r="BA129" s="441">
        <v>0.24187879000000001</v>
      </c>
      <c r="BB129" s="441">
        <v>5.773963E-3</v>
      </c>
      <c r="BC129" s="441">
        <v>-11.331460010000001</v>
      </c>
      <c r="BD129" s="441">
        <v>6.5698892559999997</v>
      </c>
      <c r="BE129" s="441">
        <v>30</v>
      </c>
      <c r="BF129" s="441">
        <v>-0.272222303</v>
      </c>
      <c r="BG129" s="441">
        <v>0.13305555499999999</v>
      </c>
      <c r="BH129" s="441">
        <v>4.7489587999999999E-2</v>
      </c>
      <c r="BI129" s="441">
        <v>-15.75586579</v>
      </c>
      <c r="BJ129" s="441">
        <v>6.5430891109999996</v>
      </c>
      <c r="BK129" s="441">
        <v>30</v>
      </c>
      <c r="BL129" s="441">
        <v>-0.27088289199999999</v>
      </c>
      <c r="BM129" s="441">
        <v>0.13283092199999999</v>
      </c>
      <c r="BN129" s="441">
        <v>4.7691364999999999E-2</v>
      </c>
      <c r="BO129" s="441">
        <v>1.1836350000000001E-2</v>
      </c>
      <c r="BP129" s="443">
        <v>1.12E-7</v>
      </c>
      <c r="BQ129" s="441">
        <v>1.1812876999999999E-2</v>
      </c>
      <c r="BR129" s="443">
        <v>8.3900000000000004E-8</v>
      </c>
      <c r="BS129" s="441">
        <v>1.1872631999999999E-2</v>
      </c>
      <c r="BT129" s="441">
        <v>4.2477390000000004E-3</v>
      </c>
      <c r="BU129" s="443">
        <v>1.72E-7</v>
      </c>
      <c r="BV129" s="441">
        <v>4.2426219999999997E-3</v>
      </c>
      <c r="BW129" s="443">
        <v>1.79E-7</v>
      </c>
      <c r="BX129" s="441">
        <v>4.1597020000000004E-3</v>
      </c>
      <c r="BY129" s="443">
        <v>4.8199999999999999E-5</v>
      </c>
      <c r="BZ129" s="443">
        <v>4.6200000000000002E-9</v>
      </c>
      <c r="CA129" s="443">
        <v>4.8000000000000001E-5</v>
      </c>
      <c r="CB129" s="443">
        <v>3.7E-9</v>
      </c>
      <c r="CC129" s="443">
        <v>4.7599999999999998E-5</v>
      </c>
      <c r="CD129" s="443">
        <v>4.6600000000000003E-6</v>
      </c>
      <c r="CE129" s="443">
        <v>6.9100000000000003E-9</v>
      </c>
      <c r="CF129" s="443">
        <v>4.6500000000000004E-6</v>
      </c>
      <c r="CG129" s="443">
        <v>6.0799999999999997E-9</v>
      </c>
      <c r="CH129" s="443">
        <v>4.3200000000000001E-6</v>
      </c>
      <c r="CI129" s="443">
        <v>8.6400000000000006E-8</v>
      </c>
      <c r="CJ129" s="443">
        <v>2.1700000000000002E-9</v>
      </c>
      <c r="CK129" s="443">
        <v>8.7400000000000002E-8</v>
      </c>
      <c r="CL129" s="443">
        <v>2.4100000000000002E-9</v>
      </c>
      <c r="CM129" s="443">
        <v>4.6999999999999997E-8</v>
      </c>
      <c r="CN129" s="444">
        <v>45205.115277777775</v>
      </c>
      <c r="CO129" s="441">
        <v>1696585611</v>
      </c>
      <c r="CP129" s="441" t="s">
        <v>420</v>
      </c>
      <c r="CQ129" s="441" t="s">
        <v>416</v>
      </c>
      <c r="CR129" s="441" t="s">
        <v>415</v>
      </c>
      <c r="CS129" s="441">
        <v>2659</v>
      </c>
      <c r="CT129" s="441">
        <v>40.801850000000002</v>
      </c>
      <c r="CU129" s="441">
        <v>2.5600000000000002E-3</v>
      </c>
      <c r="CV129" s="441">
        <v>2</v>
      </c>
      <c r="CW129" s="443">
        <v>2.6499999999999999E-8</v>
      </c>
      <c r="CX129" s="443">
        <v>1.05E-7</v>
      </c>
      <c r="CY129" s="441">
        <v>3</v>
      </c>
      <c r="CZ129" s="441">
        <v>30</v>
      </c>
      <c r="DA129" s="443">
        <v>2.65E-7</v>
      </c>
      <c r="DB129" s="443">
        <v>7.0099999999999999E-8</v>
      </c>
      <c r="DC129" s="441">
        <v>0.14496590000000001</v>
      </c>
      <c r="DD129" s="443">
        <v>6.7200000000000006E-8</v>
      </c>
      <c r="DE129" s="443">
        <v>5.9300000000000002E-8</v>
      </c>
      <c r="DF129" s="443">
        <v>5.2100000000000003E-8</v>
      </c>
      <c r="DG129" s="443">
        <v>3.2399999999999999E-12</v>
      </c>
      <c r="DH129" s="443">
        <v>2.8599999999999999E-12</v>
      </c>
      <c r="DI129" s="443">
        <v>2.51E-12</v>
      </c>
      <c r="DJ129" s="441">
        <v>-1.078151997</v>
      </c>
      <c r="DK129" s="441">
        <v>-0.58143170300000002</v>
      </c>
      <c r="DL129" s="441">
        <v>-0.145385298</v>
      </c>
      <c r="DM129" s="443">
        <v>-5.6200000000000002E-10</v>
      </c>
      <c r="DN129" s="443">
        <v>-5.4499999999999998E-10</v>
      </c>
      <c r="DO129" s="441">
        <v>1.534481E-2</v>
      </c>
      <c r="DP129" s="441">
        <v>-8.4937322119999994</v>
      </c>
      <c r="DQ129" s="441">
        <v>-5.586875998</v>
      </c>
      <c r="DR129" s="441">
        <v>0.61826097599999996</v>
      </c>
      <c r="DS129" s="441">
        <v>0.35196396099999999</v>
      </c>
      <c r="DT129" s="442">
        <f>SQRT((0.0391*10^6)/(DR129-0.154))-273.15</f>
        <v>17.056602367138282</v>
      </c>
      <c r="DV129" s="445" t="s">
        <v>439</v>
      </c>
    </row>
    <row r="130" spans="1:126" s="441" customFormat="1" x14ac:dyDescent="0.2">
      <c r="A130" s="441">
        <v>2045</v>
      </c>
      <c r="B130" s="441" t="s">
        <v>438</v>
      </c>
      <c r="C130" s="441">
        <v>8170</v>
      </c>
      <c r="D130" s="441" t="s">
        <v>430</v>
      </c>
      <c r="E130" s="441">
        <v>1</v>
      </c>
      <c r="F130" s="441" t="s">
        <v>418</v>
      </c>
      <c r="G130" s="441">
        <v>-8.1647362040000004</v>
      </c>
      <c r="H130" s="441">
        <v>5.1605380000000001E-3</v>
      </c>
      <c r="I130" s="441">
        <v>30</v>
      </c>
      <c r="J130" s="443">
        <v>8.8899999999999996E-6</v>
      </c>
      <c r="K130" s="441">
        <v>2.3000900000000001E-4</v>
      </c>
      <c r="L130" s="441">
        <v>0.93660111099999999</v>
      </c>
      <c r="M130" s="441">
        <v>-6.285358263</v>
      </c>
      <c r="N130" s="441">
        <v>1.3267428E-2</v>
      </c>
      <c r="O130" s="441">
        <v>30</v>
      </c>
      <c r="P130" s="441">
        <v>-1.3843670000000001E-3</v>
      </c>
      <c r="Q130" s="441">
        <v>0.84378255999999996</v>
      </c>
      <c r="R130" s="443">
        <v>8.3399999999999998E-13</v>
      </c>
      <c r="S130" s="441">
        <v>1.959514231</v>
      </c>
      <c r="T130" s="441">
        <v>4.8684619999999996E-3</v>
      </c>
      <c r="U130" s="441">
        <v>30</v>
      </c>
      <c r="V130" s="443">
        <v>-4.0299999999999997E-5</v>
      </c>
      <c r="W130" s="441">
        <v>5.2986400000000003E-3</v>
      </c>
      <c r="X130" s="441">
        <v>0.70226599899999997</v>
      </c>
      <c r="Y130" s="441">
        <v>1.126139564</v>
      </c>
      <c r="Z130" s="441">
        <v>1.3352697E-2</v>
      </c>
      <c r="AA130" s="441">
        <v>30</v>
      </c>
      <c r="AB130" s="441">
        <v>-1.393301E-3</v>
      </c>
      <c r="AC130" s="441">
        <v>0.84382712100000001</v>
      </c>
      <c r="AD130" s="443">
        <v>8.3E-13</v>
      </c>
      <c r="AE130" s="441">
        <v>2.8762106169999999</v>
      </c>
      <c r="AF130" s="441">
        <v>6.5434254999999997E-2</v>
      </c>
      <c r="AG130" s="441">
        <v>30</v>
      </c>
      <c r="AH130" s="441">
        <v>-1.55411E-3</v>
      </c>
      <c r="AI130" s="441">
        <v>4.3717447999999999E-2</v>
      </c>
      <c r="AJ130" s="441">
        <v>0.26748733400000002</v>
      </c>
      <c r="AK130" s="441">
        <v>-0.25442425600000002</v>
      </c>
      <c r="AL130" s="441">
        <v>6.3491277999999998E-2</v>
      </c>
      <c r="AM130" s="441">
        <v>30</v>
      </c>
      <c r="AN130" s="441">
        <v>-1.4005199999999999E-4</v>
      </c>
      <c r="AO130" s="441">
        <v>3.7709400000000002E-4</v>
      </c>
      <c r="AP130" s="441">
        <v>0.91887442900000005</v>
      </c>
      <c r="AQ130" s="441">
        <v>2.1686593260000002</v>
      </c>
      <c r="AR130" s="441">
        <v>0.23974263500000001</v>
      </c>
      <c r="AS130" s="441">
        <v>30</v>
      </c>
      <c r="AT130" s="441">
        <v>8.1475739999999994E-3</v>
      </c>
      <c r="AU130" s="441">
        <v>8.9509217000000002E-2</v>
      </c>
      <c r="AV130" s="441">
        <v>0.10825528399999999</v>
      </c>
      <c r="AW130" s="441">
        <v>-8.4677057E-2</v>
      </c>
      <c r="AX130" s="441">
        <v>0.24838977800000001</v>
      </c>
      <c r="AY130" s="441">
        <v>30</v>
      </c>
      <c r="AZ130" s="441">
        <v>1.0912425E-2</v>
      </c>
      <c r="BA130" s="441">
        <v>0.149581142</v>
      </c>
      <c r="BB130" s="441">
        <v>3.4747277E-2</v>
      </c>
      <c r="BC130" s="441">
        <v>-12.01499931</v>
      </c>
      <c r="BD130" s="441">
        <v>7.5679601779999999</v>
      </c>
      <c r="BE130" s="441">
        <v>30</v>
      </c>
      <c r="BF130" s="441">
        <v>-0.193690321</v>
      </c>
      <c r="BG130" s="441">
        <v>5.0764470999999999E-2</v>
      </c>
      <c r="BH130" s="441">
        <v>0.231266739</v>
      </c>
      <c r="BI130" s="441">
        <v>-16.253046399999999</v>
      </c>
      <c r="BJ130" s="441">
        <v>7.5297016250000004</v>
      </c>
      <c r="BK130" s="441">
        <v>30</v>
      </c>
      <c r="BL130" s="441">
        <v>-0.19012642399999999</v>
      </c>
      <c r="BM130" s="441">
        <v>4.9411851999999999E-2</v>
      </c>
      <c r="BN130" s="441">
        <v>0.237750514</v>
      </c>
      <c r="BO130" s="441">
        <v>1.1837968000000001E-2</v>
      </c>
      <c r="BP130" s="443">
        <v>9.4699999999999994E-8</v>
      </c>
      <c r="BQ130" s="441">
        <v>1.1814817E-2</v>
      </c>
      <c r="BR130" s="443">
        <v>9.0800000000000006E-8</v>
      </c>
      <c r="BS130" s="441">
        <v>1.1872305E-2</v>
      </c>
      <c r="BT130" s="441">
        <v>4.2493449999999999E-3</v>
      </c>
      <c r="BU130" s="443">
        <v>5.76E-8</v>
      </c>
      <c r="BV130" s="441">
        <v>4.2445649999999996E-3</v>
      </c>
      <c r="BW130" s="443">
        <v>3.3799999999999998E-8</v>
      </c>
      <c r="BX130" s="441">
        <v>4.1593689999999996E-3</v>
      </c>
      <c r="BY130" s="443">
        <v>4.8300000000000002E-5</v>
      </c>
      <c r="BZ130" s="443">
        <v>2.8200000000000002E-9</v>
      </c>
      <c r="CA130" s="443">
        <v>4.8199999999999999E-5</v>
      </c>
      <c r="CB130" s="443">
        <v>2.4600000000000002E-9</v>
      </c>
      <c r="CC130" s="443">
        <v>4.7599999999999998E-5</v>
      </c>
      <c r="CD130" s="443">
        <v>4.6700000000000002E-6</v>
      </c>
      <c r="CE130" s="443">
        <v>6.1200000000000004E-9</v>
      </c>
      <c r="CF130" s="443">
        <v>4.6600000000000003E-6</v>
      </c>
      <c r="CG130" s="443">
        <v>5.7299999999999999E-9</v>
      </c>
      <c r="CH130" s="443">
        <v>4.3200000000000001E-6</v>
      </c>
      <c r="CI130" s="443">
        <v>8.6000000000000002E-8</v>
      </c>
      <c r="CJ130" s="443">
        <v>2.2400000000000001E-9</v>
      </c>
      <c r="CK130" s="443">
        <v>8.7100000000000006E-8</v>
      </c>
      <c r="CL130" s="443">
        <v>2.3899999999999998E-9</v>
      </c>
      <c r="CM130" s="443">
        <v>4.6999999999999997E-8</v>
      </c>
      <c r="CN130" s="444">
        <v>45206.429861111108</v>
      </c>
      <c r="CO130" s="441">
        <v>1696699175</v>
      </c>
      <c r="CP130" s="441" t="s">
        <v>422</v>
      </c>
      <c r="CQ130" s="441" t="s">
        <v>416</v>
      </c>
      <c r="CR130" s="441" t="s">
        <v>415</v>
      </c>
      <c r="CS130" s="441">
        <v>2636</v>
      </c>
      <c r="CT130" s="441">
        <v>40.130459999999999</v>
      </c>
      <c r="CU130" s="441">
        <v>2.7399999999999998E-3</v>
      </c>
      <c r="CV130" s="441">
        <v>2</v>
      </c>
      <c r="CW130" s="443">
        <v>2.44E-8</v>
      </c>
      <c r="CX130" s="443">
        <v>9.5200000000000005E-8</v>
      </c>
      <c r="CY130" s="441">
        <v>3</v>
      </c>
      <c r="CZ130" s="441">
        <v>30</v>
      </c>
      <c r="DA130" s="443">
        <v>2.65E-7</v>
      </c>
      <c r="DB130" s="443">
        <v>7.4000000000000001E-8</v>
      </c>
      <c r="DC130" s="441">
        <v>-2.2599999999999999E-2</v>
      </c>
      <c r="DD130" s="443">
        <v>7.0799999999999999E-8</v>
      </c>
      <c r="DE130" s="443">
        <v>6.2299999999999995E-8</v>
      </c>
      <c r="DF130" s="443">
        <v>5.4499999999999998E-8</v>
      </c>
      <c r="DG130" s="443">
        <v>3.42E-12</v>
      </c>
      <c r="DH130" s="443">
        <v>3.0099999999999999E-12</v>
      </c>
      <c r="DI130" s="443">
        <v>2.6400000000000001E-12</v>
      </c>
      <c r="DJ130" s="441">
        <v>-1.2802426840000001</v>
      </c>
      <c r="DK130" s="441">
        <v>-0.73050085600000003</v>
      </c>
      <c r="DL130" s="441">
        <v>-0.265210575</v>
      </c>
      <c r="DM130" s="443">
        <v>-6.0599999999999998E-10</v>
      </c>
      <c r="DN130" s="443">
        <v>-5.8500000000000005E-10</v>
      </c>
      <c r="DO130" s="441">
        <v>1.5223998000000001E-2</v>
      </c>
      <c r="DP130" s="441">
        <v>-8.5201040169999995</v>
      </c>
      <c r="DQ130" s="441">
        <v>-5.6660786209999996</v>
      </c>
      <c r="DR130" s="441">
        <v>0.63903436899999999</v>
      </c>
      <c r="DS130" s="441">
        <v>0.45561832899999999</v>
      </c>
      <c r="DT130" s="442">
        <f>SQRT((0.0391*10^6)/(DR130-0.154))-273.15</f>
        <v>10.774011240844061</v>
      </c>
    </row>
    <row r="131" spans="1:126" x14ac:dyDescent="0.2">
      <c r="J131" s="423"/>
      <c r="R131" s="423"/>
      <c r="V131" s="423"/>
      <c r="AD131" s="423"/>
      <c r="BP131" s="423"/>
      <c r="BR131" s="423"/>
      <c r="BU131" s="423"/>
      <c r="BW131" s="423"/>
      <c r="BY131" s="423"/>
      <c r="BZ131" s="423"/>
      <c r="CA131" s="423"/>
      <c r="CB131" s="423"/>
      <c r="CC131" s="423"/>
      <c r="CD131" s="423"/>
      <c r="CE131" s="423"/>
      <c r="CF131" s="423"/>
      <c r="CG131" s="423"/>
      <c r="CH131" s="423"/>
      <c r="CI131" s="423"/>
      <c r="CJ131" s="423"/>
      <c r="CK131" s="423"/>
      <c r="CL131" s="423"/>
      <c r="CM131" s="423"/>
      <c r="CN131" s="424"/>
      <c r="CW131" s="423"/>
      <c r="CX131" s="423"/>
      <c r="DA131" s="423"/>
      <c r="DB131" s="423"/>
      <c r="DD131" s="423"/>
      <c r="DE131" s="423"/>
      <c r="DF131" s="423"/>
      <c r="DG131" s="423"/>
      <c r="DH131" s="423"/>
      <c r="DI131" s="423"/>
      <c r="DM131" s="423"/>
      <c r="DN131" s="423"/>
      <c r="DO131" s="425" t="s">
        <v>437</v>
      </c>
      <c r="DP131" s="425">
        <f>AVERAGE(DP128:DP130)</f>
        <v>-8.5061436716666652</v>
      </c>
      <c r="DQ131" s="425">
        <f>AVERAGE(DQ128:DQ130)</f>
        <v>-5.6291681433333336</v>
      </c>
      <c r="DR131" s="425">
        <f>AVERAGE(DR128:DR130)</f>
        <v>0.63354470600000001</v>
      </c>
      <c r="DS131" s="425">
        <f>AVERAGE(DS128:DS130)</f>
        <v>0.33947975466666663</v>
      </c>
      <c r="DT131" s="440">
        <f>AVERAGE(DT128:DT130)</f>
        <v>12.451038840750167</v>
      </c>
    </row>
    <row r="132" spans="1:126" x14ac:dyDescent="0.2">
      <c r="J132" s="423"/>
      <c r="R132" s="423"/>
      <c r="V132" s="423"/>
      <c r="AD132" s="423"/>
      <c r="BP132" s="423"/>
      <c r="BR132" s="423"/>
      <c r="BU132" s="423"/>
      <c r="BW132" s="423"/>
      <c r="BY132" s="423"/>
      <c r="BZ132" s="423"/>
      <c r="CA132" s="423"/>
      <c r="CB132" s="423"/>
      <c r="CC132" s="423"/>
      <c r="CD132" s="423"/>
      <c r="CE132" s="423"/>
      <c r="CF132" s="423"/>
      <c r="CG132" s="423"/>
      <c r="CH132" s="423"/>
      <c r="CI132" s="423"/>
      <c r="CJ132" s="423"/>
      <c r="CK132" s="423"/>
      <c r="CL132" s="423"/>
      <c r="CM132" s="423"/>
      <c r="CN132" s="424"/>
      <c r="CW132" s="423"/>
      <c r="CX132" s="423"/>
      <c r="DA132" s="423"/>
      <c r="DB132" s="423"/>
      <c r="DD132" s="423"/>
      <c r="DE132" s="423"/>
      <c r="DF132" s="423"/>
      <c r="DG132" s="423"/>
      <c r="DH132" s="423"/>
      <c r="DI132" s="423"/>
      <c r="DM132" s="423"/>
      <c r="DN132" s="423"/>
      <c r="DO132" s="425" t="s">
        <v>394</v>
      </c>
      <c r="DP132" s="425">
        <f>STDEV(DP128:DP130)</f>
        <v>1.3253954498405787E-2</v>
      </c>
      <c r="DQ132" s="425">
        <f>STDEV(DQ128:DQ130)</f>
        <v>3.9874623918926842E-2</v>
      </c>
      <c r="DR132" s="425">
        <f>STDEV(DR128:DR130)</f>
        <v>1.3409931971620114E-2</v>
      </c>
      <c r="DS132" s="425">
        <f>STDEV(DS128:DS130)</f>
        <v>0.12285732286351089</v>
      </c>
      <c r="DT132" s="425">
        <f>STDEV(DT128:DT130)</f>
        <v>4.0373233484041888</v>
      </c>
    </row>
    <row r="133" spans="1:126" x14ac:dyDescent="0.2">
      <c r="J133" s="423"/>
      <c r="R133" s="423"/>
      <c r="V133" s="423"/>
      <c r="AD133" s="423"/>
      <c r="BP133" s="423"/>
      <c r="BR133" s="423"/>
      <c r="BU133" s="423"/>
      <c r="BW133" s="423"/>
      <c r="BY133" s="423"/>
      <c r="BZ133" s="423"/>
      <c r="CA133" s="423"/>
      <c r="CB133" s="423"/>
      <c r="CC133" s="423"/>
      <c r="CD133" s="423"/>
      <c r="CE133" s="423"/>
      <c r="CF133" s="423"/>
      <c r="CG133" s="423"/>
      <c r="CH133" s="423"/>
      <c r="CI133" s="423"/>
      <c r="CJ133" s="423"/>
      <c r="CK133" s="423"/>
      <c r="CL133" s="423"/>
      <c r="CM133" s="423"/>
      <c r="CN133" s="424"/>
      <c r="CW133" s="423"/>
      <c r="CX133" s="423"/>
      <c r="DA133" s="423"/>
      <c r="DB133" s="423"/>
      <c r="DD133" s="423"/>
      <c r="DE133" s="423"/>
      <c r="DF133" s="423"/>
      <c r="DG133" s="423"/>
      <c r="DH133" s="423"/>
      <c r="DI133" s="423"/>
      <c r="DM133" s="423"/>
      <c r="DN133" s="423"/>
      <c r="DO133" s="425" t="s">
        <v>436</v>
      </c>
      <c r="DP133" s="425">
        <f>DP132/SQRT(4)</f>
        <v>6.6269772492028936E-3</v>
      </c>
      <c r="DQ133" s="425">
        <f>DQ132/SQRT(4)</f>
        <v>1.9937311959463421E-2</v>
      </c>
      <c r="DR133" s="425">
        <f>DR132/SQRT(4)</f>
        <v>6.7049659858100571E-3</v>
      </c>
      <c r="DS133" s="425">
        <f>DS132/SQRT(4)</f>
        <v>6.1428661431755446E-2</v>
      </c>
      <c r="DT133" s="425">
        <f>DT132/SQRT(4)</f>
        <v>2.0186616742020944</v>
      </c>
    </row>
    <row r="134" spans="1:126" x14ac:dyDescent="0.2">
      <c r="J134" s="423"/>
      <c r="R134" s="423"/>
      <c r="V134" s="423"/>
      <c r="AD134" s="423"/>
      <c r="BP134" s="423"/>
      <c r="BR134" s="423"/>
      <c r="BU134" s="423"/>
      <c r="BW134" s="423"/>
      <c r="BY134" s="423"/>
      <c r="BZ134" s="423"/>
      <c r="CA134" s="423"/>
      <c r="CB134" s="423"/>
      <c r="CC134" s="423"/>
      <c r="CD134" s="423"/>
      <c r="CE134" s="423"/>
      <c r="CF134" s="423"/>
      <c r="CG134" s="423"/>
      <c r="CH134" s="423"/>
      <c r="CI134" s="423"/>
      <c r="CJ134" s="423"/>
      <c r="CK134" s="423"/>
      <c r="CL134" s="423"/>
      <c r="CM134" s="423"/>
      <c r="CN134" s="424"/>
      <c r="CW134" s="423"/>
      <c r="CX134" s="423"/>
      <c r="DA134" s="423"/>
      <c r="DB134" s="423"/>
      <c r="DD134" s="423"/>
      <c r="DE134" s="423"/>
      <c r="DF134" s="423"/>
      <c r="DG134" s="423"/>
      <c r="DH134" s="423"/>
      <c r="DI134" s="423"/>
      <c r="DM134" s="423"/>
      <c r="DN134" s="423"/>
      <c r="DT134" s="427"/>
    </row>
    <row r="135" spans="1:126" s="429" customFormat="1" x14ac:dyDescent="0.2">
      <c r="A135" s="429">
        <v>2009</v>
      </c>
      <c r="B135" s="429" t="s">
        <v>435</v>
      </c>
      <c r="C135" s="429">
        <v>8460</v>
      </c>
      <c r="D135" s="429" t="s">
        <v>430</v>
      </c>
      <c r="E135" s="429">
        <v>1</v>
      </c>
      <c r="F135" s="429" t="s">
        <v>418</v>
      </c>
      <c r="G135" s="429">
        <v>-8.2525477590000005</v>
      </c>
      <c r="H135" s="429">
        <v>7.7054979999999999E-3</v>
      </c>
      <c r="I135" s="429">
        <v>30</v>
      </c>
      <c r="J135" s="429">
        <v>-3.5522100000000002E-4</v>
      </c>
      <c r="K135" s="429">
        <v>0.164701604</v>
      </c>
      <c r="L135" s="429">
        <v>2.6072002E-2</v>
      </c>
      <c r="M135" s="429">
        <v>-6.188945683</v>
      </c>
      <c r="N135" s="429">
        <v>1.1068398E-2</v>
      </c>
      <c r="O135" s="429">
        <v>30</v>
      </c>
      <c r="P135" s="429">
        <v>-8.4833900000000004E-4</v>
      </c>
      <c r="Q135" s="429">
        <v>0.45527224500000002</v>
      </c>
      <c r="R135" s="432">
        <v>4.32E-5</v>
      </c>
      <c r="S135" s="429">
        <v>1.8800488129999999</v>
      </c>
      <c r="T135" s="429">
        <v>7.4256849999999996E-3</v>
      </c>
      <c r="U135" s="429">
        <v>30</v>
      </c>
      <c r="V135" s="429">
        <v>-3.6497E-4</v>
      </c>
      <c r="W135" s="429">
        <v>0.187216101</v>
      </c>
      <c r="X135" s="429">
        <v>1.6933966000000002E-2</v>
      </c>
      <c r="Y135" s="429">
        <v>1.2229904819999999</v>
      </c>
      <c r="Z135" s="429">
        <v>1.1146110000000001E-2</v>
      </c>
      <c r="AA135" s="429">
        <v>30</v>
      </c>
      <c r="AB135" s="429">
        <v>-8.5457399999999998E-4</v>
      </c>
      <c r="AC135" s="429">
        <v>0.45556962899999998</v>
      </c>
      <c r="AD135" s="432">
        <v>4.2899999999999999E-5</v>
      </c>
      <c r="AE135" s="429">
        <v>2.8911898279999999</v>
      </c>
      <c r="AF135" s="429">
        <v>8.5006172000000005E-2</v>
      </c>
      <c r="AG135" s="429">
        <v>30</v>
      </c>
      <c r="AH135" s="429">
        <v>-4.0971150000000001E-3</v>
      </c>
      <c r="AI135" s="429">
        <v>0.18003502900000001</v>
      </c>
      <c r="AJ135" s="429">
        <v>1.9444217E-2</v>
      </c>
      <c r="AK135" s="429">
        <v>-0.25273796500000001</v>
      </c>
      <c r="AL135" s="429">
        <v>8.3250769000000002E-2</v>
      </c>
      <c r="AM135" s="429">
        <v>30</v>
      </c>
      <c r="AN135" s="429">
        <v>-2.8696189999999999E-3</v>
      </c>
      <c r="AO135" s="429">
        <v>9.2081789999999997E-2</v>
      </c>
      <c r="AP135" s="429">
        <v>0.103072052</v>
      </c>
      <c r="AQ135" s="429">
        <v>2.3744883040000002</v>
      </c>
      <c r="AR135" s="429">
        <v>0.30521716100000001</v>
      </c>
      <c r="AS135" s="429">
        <v>30</v>
      </c>
      <c r="AT135" s="429">
        <v>1.3431904999999999E-2</v>
      </c>
      <c r="AU135" s="429">
        <v>0.15009251800000001</v>
      </c>
      <c r="AV135" s="429">
        <v>3.4412254000000003E-2</v>
      </c>
      <c r="AW135" s="429">
        <v>-7.2789922000000007E-2</v>
      </c>
      <c r="AX135" s="429">
        <v>0.31497349400000002</v>
      </c>
      <c r="AY135" s="429">
        <v>30</v>
      </c>
      <c r="AZ135" s="429">
        <v>1.5106144E-2</v>
      </c>
      <c r="BA135" s="429">
        <v>0.17826288400000001</v>
      </c>
      <c r="BB135" s="429">
        <v>2.0117132999999999E-2</v>
      </c>
      <c r="BC135" s="429">
        <v>-2.604457129</v>
      </c>
      <c r="BD135" s="429">
        <v>9.0217938330000003</v>
      </c>
      <c r="BE135" s="429">
        <v>30</v>
      </c>
      <c r="BF135" s="429">
        <v>0.40619037200000002</v>
      </c>
      <c r="BG135" s="429">
        <v>0.15709962699999999</v>
      </c>
      <c r="BH135" s="429">
        <v>3.0128926E-2</v>
      </c>
      <c r="BI135" s="429">
        <v>-6.9875673699999998</v>
      </c>
      <c r="BJ135" s="429">
        <v>8.9850667879999992</v>
      </c>
      <c r="BK135" s="429">
        <v>30</v>
      </c>
      <c r="BL135" s="429">
        <v>0.40644740800000001</v>
      </c>
      <c r="BM135" s="429">
        <v>0.15858707899999999</v>
      </c>
      <c r="BN135" s="429">
        <v>2.9289342999999999E-2</v>
      </c>
      <c r="BO135" s="429">
        <v>1.1836048E-2</v>
      </c>
      <c r="BP135" s="432">
        <v>1.9000000000000001E-7</v>
      </c>
      <c r="BQ135" s="429">
        <v>1.1813838E-2</v>
      </c>
      <c r="BR135" s="432">
        <v>2.35E-7</v>
      </c>
      <c r="BS135" s="429">
        <v>1.1871364000000001E-2</v>
      </c>
      <c r="BT135" s="429">
        <v>4.2484480000000002E-3</v>
      </c>
      <c r="BU135" s="432">
        <v>6.7099999999999999E-8</v>
      </c>
      <c r="BV135" s="429">
        <v>4.2432590000000001E-3</v>
      </c>
      <c r="BW135" s="432">
        <v>4.66E-8</v>
      </c>
      <c r="BX135" s="429">
        <v>4.1597709999999996E-3</v>
      </c>
      <c r="BY135" s="432">
        <v>4.8199999999999999E-5</v>
      </c>
      <c r="BZ135" s="432">
        <v>3.7799999999999998E-9</v>
      </c>
      <c r="CA135" s="432">
        <v>4.8099999999999997E-5</v>
      </c>
      <c r="CB135" s="432">
        <v>2.1000000000000002E-9</v>
      </c>
      <c r="CC135" s="432">
        <v>4.7599999999999998E-5</v>
      </c>
      <c r="CD135" s="432">
        <v>4.6999999999999999E-6</v>
      </c>
      <c r="CE135" s="432">
        <v>8.0800000000000002E-9</v>
      </c>
      <c r="CF135" s="432">
        <v>4.69E-6</v>
      </c>
      <c r="CG135" s="432">
        <v>7.4999999999999993E-9</v>
      </c>
      <c r="CH135" s="432">
        <v>4.33E-6</v>
      </c>
      <c r="CI135" s="432">
        <v>1.02E-7</v>
      </c>
      <c r="CJ135" s="432">
        <v>3.0100000000000002E-9</v>
      </c>
      <c r="CK135" s="432">
        <v>1.02E-7</v>
      </c>
      <c r="CL135" s="432">
        <v>2.6099999999999999E-9</v>
      </c>
      <c r="CM135" s="432">
        <v>4.7400000000000001E-8</v>
      </c>
      <c r="CN135" s="433">
        <v>45204.37777777778</v>
      </c>
      <c r="CO135" s="429">
        <v>1696521884</v>
      </c>
      <c r="CP135" s="429" t="s">
        <v>420</v>
      </c>
      <c r="CQ135" s="429" t="s">
        <v>416</v>
      </c>
      <c r="CR135" s="429" t="s">
        <v>415</v>
      </c>
      <c r="CS135" s="429">
        <v>2641</v>
      </c>
      <c r="CT135" s="429">
        <v>27.038419999999999</v>
      </c>
      <c r="CU135" s="429">
        <v>2.5000000000000001E-3</v>
      </c>
      <c r="CV135" s="429">
        <v>2</v>
      </c>
      <c r="CW135" s="432">
        <v>2.4E-8</v>
      </c>
      <c r="CX135" s="432">
        <v>9.2000000000000003E-8</v>
      </c>
      <c r="CY135" s="429">
        <v>3</v>
      </c>
      <c r="CZ135" s="429">
        <v>30</v>
      </c>
      <c r="DA135" s="432">
        <v>2.65E-7</v>
      </c>
      <c r="DB135" s="432">
        <v>4.4700000000000003E-8</v>
      </c>
      <c r="DC135" s="429">
        <v>0.1731634</v>
      </c>
      <c r="DD135" s="432">
        <v>4.3200000000000003E-8</v>
      </c>
      <c r="DE135" s="432">
        <v>3.8700000000000002E-8</v>
      </c>
      <c r="DF135" s="432">
        <v>3.4499999999999998E-8</v>
      </c>
      <c r="DG135" s="432">
        <v>2.08E-12</v>
      </c>
      <c r="DH135" s="432">
        <v>1.8699999999999999E-12</v>
      </c>
      <c r="DI135" s="432">
        <v>1.66E-12</v>
      </c>
      <c r="DJ135" s="429">
        <v>-1.331480513</v>
      </c>
      <c r="DK135" s="429">
        <v>-0.71009699699999995</v>
      </c>
      <c r="DL135" s="429">
        <v>-0.120153236</v>
      </c>
      <c r="DM135" s="432">
        <v>-3.1699999999999999E-10</v>
      </c>
      <c r="DN135" s="432">
        <v>-3.0099999999999999E-10</v>
      </c>
      <c r="DO135" s="429">
        <v>1.0237948E-2</v>
      </c>
      <c r="DP135" s="429">
        <v>-8.6081725559999995</v>
      </c>
      <c r="DQ135" s="429">
        <v>-5.569964433</v>
      </c>
      <c r="DR135" s="429">
        <v>0.64080728499999995</v>
      </c>
      <c r="DS135" s="429">
        <v>0.48201717199999999</v>
      </c>
      <c r="DT135" s="431">
        <f>SQRT((0.0391*10^6)/(DR135-0.154))-273.15</f>
        <v>10.256524561338381</v>
      </c>
    </row>
    <row r="136" spans="1:126" s="430" customFormat="1" x14ac:dyDescent="0.2">
      <c r="A136" s="430">
        <v>2028</v>
      </c>
      <c r="B136" s="430" t="s">
        <v>434</v>
      </c>
      <c r="C136" s="430">
        <v>8460</v>
      </c>
      <c r="D136" s="430" t="s">
        <v>430</v>
      </c>
      <c r="E136" s="430">
        <v>1</v>
      </c>
      <c r="F136" s="430" t="s">
        <v>433</v>
      </c>
      <c r="G136" s="430">
        <v>2.3189541400000002</v>
      </c>
      <c r="H136" s="430">
        <v>7.9639589999999996E-3</v>
      </c>
      <c r="I136" s="430">
        <v>30</v>
      </c>
      <c r="J136" s="430">
        <v>-1.79369E-4</v>
      </c>
      <c r="K136" s="430">
        <v>3.9313074000000003E-2</v>
      </c>
      <c r="L136" s="430">
        <v>0.293568528</v>
      </c>
      <c r="M136" s="430">
        <v>-2.8109471610000001</v>
      </c>
      <c r="N136" s="430">
        <v>2.1680358E-2</v>
      </c>
      <c r="O136" s="430">
        <v>30</v>
      </c>
      <c r="P136" s="430">
        <v>-1.849919E-3</v>
      </c>
      <c r="Q136" s="430">
        <v>0.564253534</v>
      </c>
      <c r="R136" s="438">
        <v>1.73E-6</v>
      </c>
      <c r="S136" s="430">
        <v>11.973200739999999</v>
      </c>
      <c r="T136" s="430">
        <v>8.0348199999999998E-3</v>
      </c>
      <c r="U136" s="430">
        <v>30</v>
      </c>
      <c r="V136" s="430">
        <v>-2.3413500000000001E-4</v>
      </c>
      <c r="W136" s="430">
        <v>6.5808609000000004E-2</v>
      </c>
      <c r="X136" s="430">
        <v>0.171184949</v>
      </c>
      <c r="Y136" s="430">
        <v>4.6451632869999999</v>
      </c>
      <c r="Z136" s="430">
        <v>2.1831848000000001E-2</v>
      </c>
      <c r="AA136" s="430">
        <v>30</v>
      </c>
      <c r="AB136" s="430">
        <v>-1.86228E-3</v>
      </c>
      <c r="AC136" s="430">
        <v>0.56391110799999999</v>
      </c>
      <c r="AD136" s="438">
        <v>1.75E-6</v>
      </c>
      <c r="AE136" s="430">
        <v>16.31904626</v>
      </c>
      <c r="AF136" s="430">
        <v>7.3950601000000005E-2</v>
      </c>
      <c r="AG136" s="430">
        <v>30</v>
      </c>
      <c r="AH136" s="430">
        <v>-4.0272379999999998E-3</v>
      </c>
      <c r="AI136" s="430">
        <v>0.229843884</v>
      </c>
      <c r="AJ136" s="430">
        <v>7.3475440000000001E-3</v>
      </c>
      <c r="AK136" s="430">
        <v>-0.64913317299999995</v>
      </c>
      <c r="AL136" s="430">
        <v>6.1439927999999998E-2</v>
      </c>
      <c r="AM136" s="430">
        <v>30</v>
      </c>
      <c r="AN136" s="430">
        <v>-1.9000989999999999E-3</v>
      </c>
      <c r="AO136" s="430">
        <v>7.4122980000000005E-2</v>
      </c>
      <c r="AP136" s="430">
        <v>0.14553111299999999</v>
      </c>
      <c r="AQ136" s="430">
        <v>8.7612101199999994</v>
      </c>
      <c r="AR136" s="430">
        <v>0.147354653</v>
      </c>
      <c r="AS136" s="430">
        <v>30</v>
      </c>
      <c r="AT136" s="430">
        <v>-2.2797300000000002E-3</v>
      </c>
      <c r="AU136" s="430">
        <v>1.8549871999999999E-2</v>
      </c>
      <c r="AV136" s="430">
        <v>0.47297728999999999</v>
      </c>
      <c r="AW136" s="430">
        <v>-0.54550411899999995</v>
      </c>
      <c r="AX136" s="430">
        <v>0.14696351199999999</v>
      </c>
      <c r="AY136" s="430">
        <v>30</v>
      </c>
      <c r="AZ136" s="430">
        <v>1.446805E-3</v>
      </c>
      <c r="BA136" s="430">
        <v>7.5110819999999997E-3</v>
      </c>
      <c r="BB136" s="430">
        <v>0.64883583300000003</v>
      </c>
      <c r="BC136" s="430">
        <v>-3.122432383</v>
      </c>
      <c r="BD136" s="430">
        <v>7.6083599230000001</v>
      </c>
      <c r="BE136" s="430">
        <v>30</v>
      </c>
      <c r="BF136" s="430">
        <v>-0.177677851</v>
      </c>
      <c r="BG136" s="430">
        <v>4.2265517000000002E-2</v>
      </c>
      <c r="BH136" s="430">
        <v>0.275763064</v>
      </c>
      <c r="BI136" s="430">
        <v>-24.61326961</v>
      </c>
      <c r="BJ136" s="430">
        <v>7.4370152039999997</v>
      </c>
      <c r="BK136" s="430">
        <v>30</v>
      </c>
      <c r="BL136" s="430">
        <v>-0.17006797300000001</v>
      </c>
      <c r="BM136" s="430">
        <v>4.0527464999999999E-2</v>
      </c>
      <c r="BN136" s="430">
        <v>0.28608002500000002</v>
      </c>
      <c r="BO136" s="430">
        <v>1.1955626E-2</v>
      </c>
      <c r="BP136" s="438">
        <v>1.23E-7</v>
      </c>
      <c r="BQ136" s="430">
        <v>1.1814172E-2</v>
      </c>
      <c r="BR136" s="438">
        <v>1.06E-7</v>
      </c>
      <c r="BS136" s="430">
        <v>1.1990957999999999E-2</v>
      </c>
      <c r="BT136" s="430">
        <v>4.2640580000000003E-3</v>
      </c>
      <c r="BU136" s="438">
        <v>6.1999999999999999E-8</v>
      </c>
      <c r="BV136" s="430">
        <v>4.2443419999999999E-3</v>
      </c>
      <c r="BW136" s="438">
        <v>1.06E-7</v>
      </c>
      <c r="BX136" s="430">
        <v>4.1739899999999998E-3</v>
      </c>
      <c r="BY136" s="438">
        <v>4.8999999999999998E-5</v>
      </c>
      <c r="BZ136" s="438">
        <v>2.6799999999999998E-9</v>
      </c>
      <c r="CA136" s="438">
        <v>4.8199999999999999E-5</v>
      </c>
      <c r="CB136" s="438">
        <v>2.3199999999999998E-9</v>
      </c>
      <c r="CC136" s="438">
        <v>4.8300000000000002E-5</v>
      </c>
      <c r="CD136" s="438">
        <v>4.69E-6</v>
      </c>
      <c r="CE136" s="438">
        <v>5.6400000000000004E-9</v>
      </c>
      <c r="CF136" s="438">
        <v>4.6500000000000004E-6</v>
      </c>
      <c r="CG136" s="438">
        <v>5.6699999999999997E-9</v>
      </c>
      <c r="CH136" s="438">
        <v>4.3499999999999999E-6</v>
      </c>
      <c r="CI136" s="438">
        <v>8.3299999999999998E-8</v>
      </c>
      <c r="CJ136" s="438">
        <v>1.85E-9</v>
      </c>
      <c r="CK136" s="438">
        <v>8.35E-8</v>
      </c>
      <c r="CL136" s="438">
        <v>1.9599999999999998E-9</v>
      </c>
      <c r="CM136" s="438">
        <v>4.7400000000000001E-8</v>
      </c>
      <c r="CN136" s="439">
        <v>45205.504166666666</v>
      </c>
      <c r="CO136" s="430">
        <v>1696619218</v>
      </c>
      <c r="CP136" s="430" t="s">
        <v>422</v>
      </c>
      <c r="CQ136" s="430" t="s">
        <v>416</v>
      </c>
      <c r="CR136" s="430" t="s">
        <v>415</v>
      </c>
      <c r="CS136" s="430">
        <v>2651</v>
      </c>
      <c r="CT136" s="430">
        <v>48.736420000000003</v>
      </c>
      <c r="CU136" s="430">
        <v>3.0599999999999998E-3</v>
      </c>
      <c r="CV136" s="430">
        <v>2</v>
      </c>
      <c r="CW136" s="438">
        <v>2.88E-8</v>
      </c>
      <c r="CX136" s="438">
        <v>1.05E-7</v>
      </c>
      <c r="CY136" s="430">
        <v>3</v>
      </c>
      <c r="CZ136" s="430">
        <v>30</v>
      </c>
      <c r="DA136" s="438">
        <v>2.65E-7</v>
      </c>
      <c r="DB136" s="438">
        <v>8.3900000000000004E-8</v>
      </c>
      <c r="DC136" s="430">
        <v>0.34178360000000002</v>
      </c>
      <c r="DD136" s="438">
        <v>8.0599999999999994E-8</v>
      </c>
      <c r="DE136" s="438">
        <v>7.0799999999999999E-8</v>
      </c>
      <c r="DF136" s="438">
        <v>6.1900000000000005E-8</v>
      </c>
      <c r="DG136" s="438">
        <v>3.9499999999999999E-12</v>
      </c>
      <c r="DH136" s="438">
        <v>3.47E-12</v>
      </c>
      <c r="DI136" s="438">
        <v>3.0299999999999998E-12</v>
      </c>
      <c r="DJ136" s="430">
        <v>-0.34138394900000002</v>
      </c>
      <c r="DK136" s="430">
        <v>3.1384017E-2</v>
      </c>
      <c r="DL136" s="430">
        <v>0.33908152499999999</v>
      </c>
      <c r="DM136" s="438">
        <v>-6.9399999999999998E-10</v>
      </c>
      <c r="DN136" s="438">
        <v>-6.9599999999999997E-10</v>
      </c>
      <c r="DO136" s="430">
        <v>1.8384164000000001E-2</v>
      </c>
      <c r="DP136" s="430">
        <v>1.994267322</v>
      </c>
      <c r="DQ136" s="430">
        <v>-2.2024206340000001</v>
      </c>
      <c r="DR136" s="430">
        <v>0.24722659699999999</v>
      </c>
      <c r="DS136" s="430">
        <v>-0.13896043899999999</v>
      </c>
      <c r="DT136" s="437">
        <f>SQRT((0.0391*10^6)/(DR136-0.154))-273.15</f>
        <v>374.46733157266726</v>
      </c>
      <c r="DV136" s="430" t="s">
        <v>432</v>
      </c>
    </row>
    <row r="137" spans="1:126" s="426" customFormat="1" x14ac:dyDescent="0.2">
      <c r="R137" s="435"/>
      <c r="AD137" s="435"/>
      <c r="BP137" s="435"/>
      <c r="BR137" s="435"/>
      <c r="BU137" s="435"/>
      <c r="BW137" s="435"/>
      <c r="BY137" s="435"/>
      <c r="BZ137" s="435"/>
      <c r="CA137" s="435"/>
      <c r="CB137" s="435"/>
      <c r="CC137" s="435"/>
      <c r="CD137" s="435"/>
      <c r="CE137" s="435"/>
      <c r="CF137" s="435"/>
      <c r="CG137" s="435"/>
      <c r="CH137" s="435"/>
      <c r="CI137" s="435"/>
      <c r="CJ137" s="435"/>
      <c r="CK137" s="435"/>
      <c r="CL137" s="435"/>
      <c r="CM137" s="435"/>
      <c r="CN137" s="436"/>
      <c r="CW137" s="435"/>
      <c r="CX137" s="435"/>
      <c r="DA137" s="435"/>
      <c r="DB137" s="435"/>
      <c r="DD137" s="435"/>
      <c r="DE137" s="435"/>
      <c r="DF137" s="435"/>
      <c r="DG137" s="435"/>
      <c r="DH137" s="435"/>
      <c r="DI137" s="435"/>
      <c r="DM137" s="435"/>
      <c r="DN137" s="435"/>
      <c r="DP137">
        <v>-8.5804548561301193</v>
      </c>
      <c r="DQ137">
        <v>-5.7666427822491002</v>
      </c>
      <c r="DR137">
        <v>0.68010719143306098</v>
      </c>
      <c r="DS137">
        <v>0.69093272611741996</v>
      </c>
      <c r="DT137" s="431">
        <f>SQRT((0.0391*10^6)/(DR137-0.154))-273.15</f>
        <v>-0.53405128035194593</v>
      </c>
    </row>
    <row r="138" spans="1:126" s="426" customFormat="1" x14ac:dyDescent="0.2">
      <c r="R138" s="435"/>
      <c r="AD138" s="435"/>
      <c r="BP138" s="435"/>
      <c r="BR138" s="435"/>
      <c r="BU138" s="435"/>
      <c r="BW138" s="435"/>
      <c r="BY138" s="435"/>
      <c r="BZ138" s="435"/>
      <c r="CA138" s="435"/>
      <c r="CB138" s="435"/>
      <c r="CC138" s="435"/>
      <c r="CD138" s="435"/>
      <c r="CE138" s="435"/>
      <c r="CF138" s="435"/>
      <c r="CG138" s="435"/>
      <c r="CH138" s="435"/>
      <c r="CI138" s="435"/>
      <c r="CJ138" s="435"/>
      <c r="CK138" s="435"/>
      <c r="CL138" s="435"/>
      <c r="CM138" s="435"/>
      <c r="CN138" s="436"/>
      <c r="CW138" s="435"/>
      <c r="CX138" s="435"/>
      <c r="DA138" s="435"/>
      <c r="DB138" s="435"/>
      <c r="DD138" s="435"/>
      <c r="DE138" s="435"/>
      <c r="DF138" s="435"/>
      <c r="DG138" s="435"/>
      <c r="DH138" s="435"/>
      <c r="DI138" s="435"/>
      <c r="DM138" s="435"/>
      <c r="DN138" s="435"/>
      <c r="DO138" s="425" t="s">
        <v>437</v>
      </c>
      <c r="DP138" s="559">
        <f>AVERAGE(DP135,DP137)</f>
        <v>-8.5943137060650585</v>
      </c>
      <c r="DQ138" s="559">
        <f>AVERAGE(DQ135,DQ137)</f>
        <v>-5.6683036076245497</v>
      </c>
      <c r="DR138" s="559">
        <f>AVERAGE(DR135,DR137)</f>
        <v>0.66045723821653046</v>
      </c>
      <c r="DS138" s="559">
        <f>AVERAGE(DS135,DS137)</f>
        <v>0.58647494905871</v>
      </c>
      <c r="DT138" s="434">
        <f>AVERAGE(DT135,DT137)</f>
        <v>4.8612366404932175</v>
      </c>
    </row>
    <row r="139" spans="1:126" s="426" customFormat="1" x14ac:dyDescent="0.2">
      <c r="R139" s="435"/>
      <c r="AD139" s="435"/>
      <c r="BP139" s="435"/>
      <c r="BR139" s="435"/>
      <c r="BU139" s="435"/>
      <c r="BW139" s="435"/>
      <c r="BY139" s="435"/>
      <c r="BZ139" s="435"/>
      <c r="CA139" s="435"/>
      <c r="CB139" s="435"/>
      <c r="CC139" s="435"/>
      <c r="CD139" s="435"/>
      <c r="CE139" s="435"/>
      <c r="CF139" s="435"/>
      <c r="CG139" s="435"/>
      <c r="CH139" s="435"/>
      <c r="CI139" s="435"/>
      <c r="CJ139" s="435"/>
      <c r="CK139" s="435"/>
      <c r="CL139" s="435"/>
      <c r="CM139" s="435"/>
      <c r="CN139" s="436"/>
      <c r="CW139" s="435"/>
      <c r="CX139" s="435"/>
      <c r="DA139" s="435"/>
      <c r="DB139" s="435"/>
      <c r="DD139" s="435"/>
      <c r="DE139" s="435"/>
      <c r="DF139" s="435"/>
      <c r="DG139" s="435"/>
      <c r="DH139" s="435"/>
      <c r="DI139" s="435"/>
      <c r="DM139" s="435"/>
      <c r="DN139" s="435"/>
      <c r="DO139" s="425" t="s">
        <v>394</v>
      </c>
      <c r="DP139" s="559">
        <f>STDEV(DP135,DP137)</f>
        <v>1.959937353688582E-2</v>
      </c>
      <c r="DQ139" s="559">
        <f>STDEV(DQ135,DQ137)</f>
        <v>0.13907259446661488</v>
      </c>
      <c r="DR139" s="559">
        <f>STDEV(DR135,DR137)</f>
        <v>2.7789230338814277E-2</v>
      </c>
      <c r="DS139" s="559">
        <f>STDEV(DS135,DS137)</f>
        <v>0.14772560501177245</v>
      </c>
      <c r="DT139" s="434">
        <f>STDEV(DT135,DT137)</f>
        <v>7.6300893505669674</v>
      </c>
    </row>
    <row r="140" spans="1:126" s="426" customFormat="1" x14ac:dyDescent="0.2">
      <c r="R140" s="435"/>
      <c r="AD140" s="435"/>
      <c r="BP140" s="435"/>
      <c r="BR140" s="435"/>
      <c r="BU140" s="435"/>
      <c r="BW140" s="435"/>
      <c r="BY140" s="435"/>
      <c r="BZ140" s="435"/>
      <c r="CA140" s="435"/>
      <c r="CB140" s="435"/>
      <c r="CC140" s="435"/>
      <c r="CD140" s="435"/>
      <c r="CE140" s="435"/>
      <c r="CF140" s="435"/>
      <c r="CG140" s="435"/>
      <c r="CH140" s="435"/>
      <c r="CI140" s="435"/>
      <c r="CJ140" s="435"/>
      <c r="CK140" s="435"/>
      <c r="CL140" s="435"/>
      <c r="CM140" s="435"/>
      <c r="CN140" s="436"/>
      <c r="CW140" s="435"/>
      <c r="CX140" s="435"/>
      <c r="DA140" s="435"/>
      <c r="DB140" s="435"/>
      <c r="DD140" s="435"/>
      <c r="DE140" s="435"/>
      <c r="DF140" s="435"/>
      <c r="DG140" s="435"/>
      <c r="DH140" s="435"/>
      <c r="DI140" s="435"/>
      <c r="DM140" s="435"/>
      <c r="DN140" s="435"/>
      <c r="DO140" s="425" t="s">
        <v>436</v>
      </c>
      <c r="DP140" s="559">
        <f>DP139/(SQRT(2))</f>
        <v>1.385884993494013E-2</v>
      </c>
      <c r="DQ140" s="559">
        <f>DQ139/(SQRT(2))</f>
        <v>9.8339174624550107E-2</v>
      </c>
      <c r="DR140" s="559">
        <f>DR139/(SQRT(2))</f>
        <v>1.9649953216530514E-2</v>
      </c>
      <c r="DS140" s="559">
        <f>DS139/SQRT(2)</f>
        <v>0.10445777705870972</v>
      </c>
      <c r="DT140" s="434">
        <f>SQRT(DT139/2)</f>
        <v>1.9532139348477635</v>
      </c>
    </row>
    <row r="141" spans="1:126" s="429" customFormat="1" x14ac:dyDescent="0.2">
      <c r="A141" s="429">
        <v>2010</v>
      </c>
      <c r="B141" s="429" t="s">
        <v>431</v>
      </c>
      <c r="C141" s="429">
        <v>8515</v>
      </c>
      <c r="D141" s="429" t="s">
        <v>430</v>
      </c>
      <c r="E141" s="429">
        <v>1</v>
      </c>
      <c r="F141" s="429" t="s">
        <v>429</v>
      </c>
      <c r="G141" s="429">
        <v>-8.738426875</v>
      </c>
      <c r="H141" s="429">
        <v>5.3810680000000001E-3</v>
      </c>
      <c r="I141" s="429">
        <v>30</v>
      </c>
      <c r="J141" s="429">
        <v>1.43991E-4</v>
      </c>
      <c r="K141" s="429">
        <v>5.5492635999999998E-2</v>
      </c>
      <c r="L141" s="429">
        <v>0.21014611699999999</v>
      </c>
      <c r="M141" s="429">
        <v>-5.7235457600000004</v>
      </c>
      <c r="N141" s="429">
        <v>1.149642E-2</v>
      </c>
      <c r="O141" s="429">
        <v>30</v>
      </c>
      <c r="P141" s="429">
        <v>-2.72892E-4</v>
      </c>
      <c r="Q141" s="429">
        <v>4.3667396999999997E-2</v>
      </c>
      <c r="R141" s="429">
        <v>0.26776760900000002</v>
      </c>
      <c r="S141" s="429">
        <v>1.437956587</v>
      </c>
      <c r="T141" s="429">
        <v>5.3093589999999996E-3</v>
      </c>
      <c r="U141" s="429">
        <v>30</v>
      </c>
      <c r="V141" s="429">
        <v>1.26274E-4</v>
      </c>
      <c r="W141" s="429">
        <v>4.3837421000000001E-2</v>
      </c>
      <c r="X141" s="429">
        <v>0.26681692499999998</v>
      </c>
      <c r="Y141" s="429">
        <v>1.6903752329999999</v>
      </c>
      <c r="Z141" s="429">
        <v>1.1576983000000001E-2</v>
      </c>
      <c r="AA141" s="429">
        <v>30</v>
      </c>
      <c r="AB141" s="429">
        <v>-2.7435300000000002E-4</v>
      </c>
      <c r="AC141" s="429">
        <v>4.3524028999999999E-2</v>
      </c>
      <c r="AD141" s="429">
        <v>0.26857240199999999</v>
      </c>
      <c r="AE141" s="429">
        <v>2.9434233779999999</v>
      </c>
      <c r="AF141" s="429">
        <v>5.8153000000000003E-2</v>
      </c>
      <c r="AG141" s="429">
        <v>30</v>
      </c>
      <c r="AH141" s="429">
        <v>-5.6166300000000001E-4</v>
      </c>
      <c r="AI141" s="429">
        <v>7.2295019999999996E-3</v>
      </c>
      <c r="AJ141" s="429">
        <v>0.655069291</v>
      </c>
      <c r="AK141" s="429">
        <v>-0.20398580599999999</v>
      </c>
      <c r="AL141" s="429">
        <v>6.0317704E-2</v>
      </c>
      <c r="AM141" s="429">
        <v>30</v>
      </c>
      <c r="AN141" s="429">
        <v>-4.2079200000000002E-4</v>
      </c>
      <c r="AO141" s="429">
        <v>3.7717779999999999E-3</v>
      </c>
      <c r="AP141" s="429">
        <v>0.74715437799999995</v>
      </c>
      <c r="AQ141" s="429">
        <v>3.2156822950000001</v>
      </c>
      <c r="AR141" s="429">
        <v>0.174817159</v>
      </c>
      <c r="AS141" s="429">
        <v>30</v>
      </c>
      <c r="AT141" s="429">
        <v>1.902976E-3</v>
      </c>
      <c r="AU141" s="429">
        <v>9.1833309999999994E-3</v>
      </c>
      <c r="AV141" s="429">
        <v>0.61444423500000001</v>
      </c>
      <c r="AW141" s="429">
        <v>-0.167345626</v>
      </c>
      <c r="AX141" s="429">
        <v>0.17824693699999999</v>
      </c>
      <c r="AY141" s="429">
        <v>30</v>
      </c>
      <c r="AZ141" s="429">
        <v>2.4441760000000002E-3</v>
      </c>
      <c r="BA141" s="429">
        <v>1.4572107000000001E-2</v>
      </c>
      <c r="BB141" s="429">
        <v>0.52515532200000004</v>
      </c>
      <c r="BC141" s="429">
        <v>1.426194371</v>
      </c>
      <c r="BD141" s="429">
        <v>5.2792857729999998</v>
      </c>
      <c r="BE141" s="429">
        <v>30</v>
      </c>
      <c r="BF141" s="429">
        <v>4.5549996000000002E-2</v>
      </c>
      <c r="BG141" s="429">
        <v>5.7693650000000003E-3</v>
      </c>
      <c r="BH141" s="429">
        <v>0.689945225</v>
      </c>
      <c r="BI141" s="429">
        <v>-3.4195804480000001</v>
      </c>
      <c r="BJ141" s="429">
        <v>5.2502036539999999</v>
      </c>
      <c r="BK141" s="429">
        <v>30</v>
      </c>
      <c r="BL141" s="429">
        <v>4.5727957E-2</v>
      </c>
      <c r="BM141" s="429">
        <v>5.8791290000000003E-3</v>
      </c>
      <c r="BN141" s="429">
        <v>0.68715603700000005</v>
      </c>
      <c r="BO141" s="429">
        <v>1.1829922999999999E-2</v>
      </c>
      <c r="BP141" s="432">
        <v>1.4000000000000001E-7</v>
      </c>
      <c r="BQ141" s="429">
        <v>1.1812936E-2</v>
      </c>
      <c r="BR141" s="432">
        <v>1.4499999999999999E-7</v>
      </c>
      <c r="BS141" s="429">
        <v>1.1866125E-2</v>
      </c>
      <c r="BT141" s="429">
        <v>4.2496809999999999E-3</v>
      </c>
      <c r="BU141" s="432">
        <v>9.5200000000000005E-8</v>
      </c>
      <c r="BV141" s="429">
        <v>4.2425099999999997E-3</v>
      </c>
      <c r="BW141" s="432">
        <v>1.04E-7</v>
      </c>
      <c r="BX141" s="429">
        <v>4.161713E-3</v>
      </c>
      <c r="BY141" s="432">
        <v>4.8199999999999999E-5</v>
      </c>
      <c r="BZ141" s="432">
        <v>3.6899999999999999E-9</v>
      </c>
      <c r="CA141" s="432">
        <v>4.8000000000000001E-5</v>
      </c>
      <c r="CB141" s="432">
        <v>3.1500000000000001E-9</v>
      </c>
      <c r="CC141" s="432">
        <v>4.7599999999999998E-5</v>
      </c>
      <c r="CD141" s="432">
        <v>4.6500000000000004E-6</v>
      </c>
      <c r="CE141" s="432">
        <v>6.0600000000000002E-9</v>
      </c>
      <c r="CF141" s="432">
        <v>4.6399999999999996E-6</v>
      </c>
      <c r="CG141" s="432">
        <v>5.9200000000000002E-9</v>
      </c>
      <c r="CH141" s="432">
        <v>4.33E-6</v>
      </c>
      <c r="CI141" s="432">
        <v>8.3799999999999996E-8</v>
      </c>
      <c r="CJ141" s="432">
        <v>1.9399999999999999E-9</v>
      </c>
      <c r="CK141" s="432">
        <v>8.3700000000000002E-8</v>
      </c>
      <c r="CL141" s="432">
        <v>1.8899999999999999E-9</v>
      </c>
      <c r="CM141" s="432">
        <v>4.7600000000000003E-8</v>
      </c>
      <c r="CN141" s="433">
        <v>45204.458333333336</v>
      </c>
      <c r="CO141" s="429">
        <v>1696528850</v>
      </c>
      <c r="CP141" s="429" t="s">
        <v>420</v>
      </c>
      <c r="CQ141" s="429" t="s">
        <v>416</v>
      </c>
      <c r="CR141" s="429" t="s">
        <v>415</v>
      </c>
      <c r="CS141" s="429">
        <v>2955</v>
      </c>
      <c r="CT141" s="429">
        <v>18.340910000000001</v>
      </c>
      <c r="CU141" s="429">
        <v>7.4700000000000003E-2</v>
      </c>
      <c r="CV141" s="429">
        <v>1</v>
      </c>
      <c r="CW141" s="432">
        <v>3.0099999999999998E-8</v>
      </c>
      <c r="CX141" s="432">
        <v>1.05E-7</v>
      </c>
      <c r="CY141" s="429">
        <v>3</v>
      </c>
      <c r="CZ141" s="429">
        <v>30</v>
      </c>
      <c r="DA141" s="432">
        <v>2.65E-7</v>
      </c>
      <c r="DB141" s="432">
        <v>8.0900000000000003E-8</v>
      </c>
      <c r="DC141" s="429">
        <v>0.37449979999999999</v>
      </c>
      <c r="DD141" s="432">
        <v>7.7799999999999995E-8</v>
      </c>
      <c r="DE141" s="432">
        <v>6.8200000000000002E-8</v>
      </c>
      <c r="DF141" s="432">
        <v>5.9699999999999999E-8</v>
      </c>
      <c r="DG141" s="432">
        <v>3.75E-12</v>
      </c>
      <c r="DH141" s="432">
        <v>3.2899999999999999E-12</v>
      </c>
      <c r="DI141" s="432">
        <v>2.8799999999999998E-12</v>
      </c>
      <c r="DJ141" s="429">
        <v>-0.22690480399999999</v>
      </c>
      <c r="DK141" s="429">
        <v>0.16327017199999999</v>
      </c>
      <c r="DL141" s="429">
        <v>0.439960992</v>
      </c>
      <c r="DM141" s="432">
        <v>-6.7500000000000005E-10</v>
      </c>
      <c r="DN141" s="432">
        <v>-6.6999999999999996E-10</v>
      </c>
      <c r="DO141" s="429">
        <v>6.2067379999999998E-3</v>
      </c>
      <c r="DP141" s="429">
        <v>-9.0954736199999999</v>
      </c>
      <c r="DQ141" s="429">
        <v>-5.1060048980000001</v>
      </c>
      <c r="DR141" s="429">
        <v>0.69154307800000003</v>
      </c>
      <c r="DS141" s="429">
        <v>0.34496460000000001</v>
      </c>
      <c r="DT141" s="431">
        <f>SQRT((0.0391*10^6)/(DR141-0.154))-273.15</f>
        <v>-3.4495060766884649</v>
      </c>
      <c r="DV141" s="430" t="s">
        <v>428</v>
      </c>
    </row>
    <row r="142" spans="1:126" x14ac:dyDescent="0.2">
      <c r="BP142" s="423"/>
      <c r="BR142" s="423"/>
      <c r="BU142" s="423"/>
      <c r="BW142" s="423"/>
      <c r="BY142" s="423"/>
      <c r="BZ142" s="423"/>
      <c r="CA142" s="423"/>
      <c r="CB142" s="423"/>
      <c r="CC142" s="423"/>
      <c r="CD142" s="423"/>
      <c r="CE142" s="423"/>
      <c r="CF142" s="423"/>
      <c r="CG142" s="423"/>
      <c r="CH142" s="423"/>
      <c r="CI142" s="423"/>
      <c r="CJ142" s="423"/>
      <c r="CK142" s="423"/>
      <c r="CL142" s="423"/>
      <c r="CM142" s="423"/>
      <c r="CN142" s="424"/>
      <c r="CW142" s="423"/>
      <c r="CX142" s="423"/>
      <c r="DA142" s="423"/>
      <c r="DB142" s="423"/>
      <c r="DD142" s="423"/>
      <c r="DE142" s="423"/>
      <c r="DF142" s="423"/>
      <c r="DG142" s="423"/>
      <c r="DH142" s="423"/>
      <c r="DI142" s="423"/>
      <c r="DM142" s="423"/>
      <c r="DN142" s="428"/>
      <c r="DO142" s="425"/>
      <c r="DP142" s="551">
        <v>-9.0613436775392806</v>
      </c>
      <c r="DQ142" s="551">
        <v>-4.9310921323911296</v>
      </c>
      <c r="DR142" s="551">
        <v>0.72240800799996896</v>
      </c>
      <c r="DS142" s="551">
        <v>0.82665621884465701</v>
      </c>
      <c r="DT142" s="431">
        <f t="shared" ref="DT142" si="2">SQRT((0.0391*10^6)/(DR142-0.154))-273.15</f>
        <v>-10.874161121657266</v>
      </c>
      <c r="DV142" s="426"/>
    </row>
    <row r="143" spans="1:126" ht="23" customHeight="1" x14ac:dyDescent="0.2">
      <c r="BP143" s="423"/>
      <c r="BR143" s="423"/>
      <c r="BU143" s="423"/>
      <c r="BW143" s="423"/>
      <c r="BY143" s="423"/>
      <c r="BZ143" s="423"/>
      <c r="CA143" s="423"/>
      <c r="CB143" s="423"/>
      <c r="CC143" s="423"/>
      <c r="CD143" s="423"/>
      <c r="CE143" s="423"/>
      <c r="CF143" s="423"/>
      <c r="CG143" s="423"/>
      <c r="CH143" s="423"/>
      <c r="CI143" s="423"/>
      <c r="CJ143" s="423"/>
      <c r="CK143" s="423"/>
      <c r="CL143" s="423"/>
      <c r="CM143" s="423"/>
      <c r="CN143" s="424"/>
      <c r="CW143" s="423"/>
      <c r="CX143" s="423"/>
      <c r="DA143" s="423"/>
      <c r="DB143" s="423"/>
      <c r="DD143" s="423"/>
      <c r="DE143" s="423"/>
      <c r="DF143" s="423"/>
      <c r="DG143" s="423"/>
      <c r="DH143" s="423"/>
      <c r="DI143" s="423"/>
      <c r="DM143" s="423"/>
      <c r="DN143" s="423"/>
      <c r="DO143" s="425" t="s">
        <v>437</v>
      </c>
      <c r="DP143" s="425">
        <f>AVERAGE(DP141:DP142)</f>
        <v>-9.0784086487696403</v>
      </c>
      <c r="DQ143" s="425">
        <f>AVERAGE(DQ141:DQ142)</f>
        <v>-5.0185485151955653</v>
      </c>
      <c r="DR143" s="425">
        <f>AVERAGE(DR141:DR142)</f>
        <v>0.70697554299998444</v>
      </c>
      <c r="DS143" s="425">
        <f>AVERAGE(DS141:DS142)</f>
        <v>0.58581040942232854</v>
      </c>
      <c r="DT143" s="431">
        <f>AVERAGE(DT141:DT142)</f>
        <v>-7.1618335991728657</v>
      </c>
    </row>
    <row r="144" spans="1:126" x14ac:dyDescent="0.2">
      <c r="BP144" s="423"/>
      <c r="BR144" s="423"/>
      <c r="BU144" s="423"/>
      <c r="BW144" s="423"/>
      <c r="BY144" s="423"/>
      <c r="BZ144" s="423"/>
      <c r="CA144" s="423"/>
      <c r="CB144" s="423"/>
      <c r="CC144" s="423"/>
      <c r="CD144" s="423"/>
      <c r="CE144" s="423"/>
      <c r="CF144" s="423"/>
      <c r="CG144" s="423"/>
      <c r="CH144" s="423"/>
      <c r="CI144" s="423"/>
      <c r="CJ144" s="423"/>
      <c r="CK144" s="423"/>
      <c r="CL144" s="423"/>
      <c r="CM144" s="423"/>
      <c r="CN144" s="424"/>
      <c r="CW144" s="423"/>
      <c r="CX144" s="423"/>
      <c r="DA144" s="423"/>
      <c r="DB144" s="423"/>
      <c r="DD144" s="423"/>
      <c r="DE144" s="423"/>
      <c r="DF144" s="423"/>
      <c r="DG144" s="423"/>
      <c r="DH144" s="423"/>
      <c r="DI144" s="423"/>
      <c r="DM144" s="423"/>
      <c r="DN144" s="423"/>
      <c r="DO144" s="425" t="s">
        <v>394</v>
      </c>
      <c r="DP144" s="425">
        <f>STDEV(DP141:DP142)</f>
        <v>2.4133513755481315E-2</v>
      </c>
      <c r="DQ144" s="425">
        <f>STDEV(DQ141:DQ142)</f>
        <v>0.12368200267812544</v>
      </c>
      <c r="DR144" s="425">
        <f>STDEV(DR141:DR142)</f>
        <v>2.1824801303826136E-2</v>
      </c>
      <c r="DS144" s="425">
        <f>STDEV(DS141:DS142)</f>
        <v>0.34060741012578261</v>
      </c>
      <c r="DT144" s="431">
        <f>STDEV(DT141:DT142)</f>
        <v>5.2500239302683509</v>
      </c>
    </row>
    <row r="145" spans="1:124" x14ac:dyDescent="0.2">
      <c r="BP145" s="423"/>
      <c r="BR145" s="423"/>
      <c r="BU145" s="423"/>
      <c r="BW145" s="423"/>
      <c r="BY145" s="423"/>
      <c r="BZ145" s="423"/>
      <c r="CA145" s="423"/>
      <c r="CB145" s="423"/>
      <c r="CC145" s="423"/>
      <c r="CD145" s="423"/>
      <c r="CE145" s="423"/>
      <c r="CF145" s="423"/>
      <c r="CG145" s="423"/>
      <c r="CH145" s="423"/>
      <c r="CI145" s="423"/>
      <c r="CJ145" s="423"/>
      <c r="CK145" s="423"/>
      <c r="CL145" s="423"/>
      <c r="CM145" s="423"/>
      <c r="CN145" s="424"/>
      <c r="CW145" s="423"/>
      <c r="CX145" s="423"/>
      <c r="DA145" s="423"/>
      <c r="DB145" s="423"/>
      <c r="DD145" s="423"/>
      <c r="DE145" s="423"/>
      <c r="DF145" s="423"/>
      <c r="DG145" s="423"/>
      <c r="DH145" s="423"/>
      <c r="DI145" s="423"/>
      <c r="DM145" s="423"/>
      <c r="DN145" s="423"/>
      <c r="DO145" s="425" t="s">
        <v>436</v>
      </c>
      <c r="DP145" s="425">
        <f>DP144/SQRT(2)</f>
        <v>1.706497123035966E-2</v>
      </c>
      <c r="DQ145" s="425">
        <f>DQ144/SQRT(2)</f>
        <v>8.7456382804435226E-2</v>
      </c>
      <c r="DR145" s="425">
        <f>DR144/SQRT(2)</f>
        <v>1.5432464999984463E-2</v>
      </c>
      <c r="DS145" s="425">
        <f>DS144/SQRT(2)</f>
        <v>0.24084580942232839</v>
      </c>
      <c r="DT145" s="431">
        <f>DT144/SQRT(2)</f>
        <v>3.7123275224844008</v>
      </c>
    </row>
    <row r="146" spans="1:124" x14ac:dyDescent="0.2">
      <c r="BP146" s="423"/>
      <c r="BR146" s="423"/>
      <c r="BU146" s="423"/>
      <c r="BW146" s="423"/>
      <c r="BY146" s="423"/>
      <c r="BZ146" s="423"/>
      <c r="CA146" s="423"/>
      <c r="CB146" s="423"/>
      <c r="CC146" s="423"/>
      <c r="CD146" s="423"/>
      <c r="CE146" s="423"/>
      <c r="CF146" s="423"/>
      <c r="CG146" s="423"/>
      <c r="CH146" s="423"/>
      <c r="CI146" s="423"/>
      <c r="CJ146" s="423"/>
      <c r="CK146" s="423"/>
      <c r="CL146" s="423"/>
      <c r="CM146" s="423"/>
      <c r="CN146" s="424"/>
      <c r="CW146" s="423"/>
      <c r="CX146" s="423"/>
      <c r="DA146" s="423"/>
      <c r="DB146" s="423"/>
      <c r="DD146" s="423"/>
      <c r="DE146" s="423"/>
      <c r="DF146" s="423"/>
      <c r="DG146" s="423"/>
      <c r="DH146" s="423"/>
      <c r="DI146" s="423"/>
      <c r="DM146" s="423"/>
      <c r="DN146" s="423"/>
      <c r="DO146" s="425"/>
      <c r="DP146" s="425"/>
      <c r="DQ146" s="425"/>
      <c r="DR146" s="425"/>
      <c r="DS146" s="425"/>
    </row>
    <row r="147" spans="1:124" x14ac:dyDescent="0.2">
      <c r="BP147" s="423"/>
      <c r="BR147" s="423"/>
      <c r="BU147" s="423"/>
      <c r="BW147" s="423"/>
      <c r="BY147" s="423"/>
      <c r="BZ147" s="423"/>
      <c r="CA147" s="423"/>
      <c r="CB147" s="423"/>
      <c r="CC147" s="423"/>
      <c r="CD147" s="423"/>
      <c r="CE147" s="423"/>
      <c r="CF147" s="423"/>
      <c r="CG147" s="423"/>
      <c r="CH147" s="423"/>
      <c r="CI147" s="423"/>
      <c r="CJ147" s="423"/>
      <c r="CK147" s="423"/>
      <c r="CL147" s="423"/>
      <c r="CM147" s="423"/>
      <c r="CN147" s="424"/>
      <c r="CW147" s="423"/>
      <c r="CX147" s="423"/>
      <c r="DA147" s="423"/>
      <c r="DB147" s="423"/>
      <c r="DD147" s="423"/>
      <c r="DE147" s="423"/>
      <c r="DF147" s="423"/>
      <c r="DG147" s="423"/>
      <c r="DH147" s="423"/>
      <c r="DI147" s="423"/>
      <c r="DM147" s="423"/>
      <c r="DN147" s="423"/>
      <c r="DO147" s="425"/>
      <c r="DP147" s="425"/>
      <c r="DQ147" s="425"/>
      <c r="DR147" s="425"/>
      <c r="DS147" s="425"/>
    </row>
    <row r="148" spans="1:124" x14ac:dyDescent="0.2">
      <c r="BP148" s="423"/>
      <c r="BR148" s="423"/>
      <c r="BU148" s="423"/>
      <c r="BW148" s="423"/>
      <c r="BY148" s="423"/>
      <c r="BZ148" s="423"/>
      <c r="CA148" s="423"/>
      <c r="CB148" s="423"/>
      <c r="CC148" s="423"/>
      <c r="CD148" s="423"/>
      <c r="CE148" s="423"/>
      <c r="CF148" s="423"/>
      <c r="CG148" s="423"/>
      <c r="CH148" s="423"/>
      <c r="CI148" s="423"/>
      <c r="CJ148" s="423"/>
      <c r="CK148" s="423"/>
      <c r="CL148" s="423"/>
      <c r="CM148" s="423"/>
      <c r="CN148" s="424"/>
      <c r="CW148" s="423"/>
      <c r="CX148" s="423"/>
      <c r="DA148" s="423"/>
      <c r="DB148" s="423"/>
      <c r="DD148" s="423"/>
      <c r="DE148" s="423"/>
      <c r="DF148" s="423"/>
      <c r="DG148" s="423"/>
      <c r="DH148" s="423"/>
      <c r="DI148" s="423"/>
      <c r="DM148" s="423"/>
      <c r="DN148" s="423"/>
      <c r="DO148" s="425"/>
      <c r="DP148" s="425"/>
      <c r="DQ148" s="425"/>
      <c r="DR148" s="425"/>
      <c r="DS148" s="425"/>
    </row>
    <row r="149" spans="1:124" x14ac:dyDescent="0.2">
      <c r="BP149" s="423"/>
      <c r="BR149" s="423"/>
      <c r="BU149" s="423"/>
      <c r="BW149" s="423"/>
      <c r="BY149" s="423"/>
      <c r="BZ149" s="423"/>
      <c r="CA149" s="423"/>
      <c r="CB149" s="423"/>
      <c r="CC149" s="423"/>
      <c r="CD149" s="423"/>
      <c r="CE149" s="423"/>
      <c r="CF149" s="423"/>
      <c r="CG149" s="423"/>
      <c r="CH149" s="423"/>
      <c r="CI149" s="423"/>
      <c r="CJ149" s="423"/>
      <c r="CK149" s="423"/>
      <c r="CL149" s="423"/>
      <c r="CM149" s="423"/>
      <c r="CN149" s="424"/>
      <c r="CW149" s="423"/>
      <c r="CX149" s="423"/>
      <c r="DA149" s="423"/>
      <c r="DB149" s="423"/>
      <c r="DD149" s="423"/>
      <c r="DE149" s="423"/>
      <c r="DF149" s="423"/>
      <c r="DG149" s="423"/>
      <c r="DH149" s="423"/>
      <c r="DI149" s="423"/>
      <c r="DM149" s="423"/>
      <c r="DN149" s="423"/>
    </row>
    <row r="150" spans="1:124" x14ac:dyDescent="0.2">
      <c r="A150" s="422">
        <v>1998</v>
      </c>
      <c r="B150" s="422" t="s">
        <v>427</v>
      </c>
      <c r="C150" s="422" t="s">
        <v>427</v>
      </c>
      <c r="D150" s="422" t="s">
        <v>427</v>
      </c>
      <c r="E150" s="422">
        <v>1</v>
      </c>
      <c r="F150" s="422" t="s">
        <v>418</v>
      </c>
      <c r="G150" s="422">
        <v>-1.777969543</v>
      </c>
      <c r="H150" s="422">
        <v>5.3905439999999997E-3</v>
      </c>
      <c r="I150" s="422">
        <v>30</v>
      </c>
      <c r="J150" s="422">
        <v>-1.5144600000000001E-4</v>
      </c>
      <c r="K150" s="422">
        <v>6.1171670999999997E-2</v>
      </c>
      <c r="L150" s="422">
        <v>0.18760512400000001</v>
      </c>
      <c r="M150" s="422">
        <v>-5.2732824840000001</v>
      </c>
      <c r="N150" s="422">
        <v>8.8617209999999995E-3</v>
      </c>
      <c r="O150" s="422">
        <v>30</v>
      </c>
      <c r="P150" s="422">
        <v>-5.7431099999999998E-4</v>
      </c>
      <c r="Q150" s="422">
        <v>0.325506191</v>
      </c>
      <c r="R150" s="422">
        <v>9.9463099999999994E-4</v>
      </c>
      <c r="S150" s="422">
        <v>8.0211905449999996</v>
      </c>
      <c r="T150" s="422">
        <v>5.1137889999999997E-3</v>
      </c>
      <c r="U150" s="422">
        <v>30</v>
      </c>
      <c r="V150" s="422">
        <v>-1.6306400000000001E-4</v>
      </c>
      <c r="W150" s="422">
        <v>7.8801346999999994E-2</v>
      </c>
      <c r="X150" s="422">
        <v>0.13293923499999999</v>
      </c>
      <c r="Y150" s="422">
        <v>2.158234502</v>
      </c>
      <c r="Z150" s="422">
        <v>8.919761E-3</v>
      </c>
      <c r="AA150" s="422">
        <v>30</v>
      </c>
      <c r="AB150" s="422">
        <v>-5.7834800000000001E-4</v>
      </c>
      <c r="AC150" s="422">
        <v>0.32581705399999999</v>
      </c>
      <c r="AD150" s="422">
        <v>9.8783599999999997E-4</v>
      </c>
      <c r="AE150" s="422">
        <v>10.135342680000001</v>
      </c>
      <c r="AF150" s="422">
        <v>6.3499710000000001E-2</v>
      </c>
      <c r="AG150" s="422">
        <v>30</v>
      </c>
      <c r="AH150" s="422">
        <v>-1.2463470000000001E-3</v>
      </c>
      <c r="AI150" s="422">
        <v>2.9856298E-2</v>
      </c>
      <c r="AJ150" s="422">
        <v>0.36119605500000002</v>
      </c>
      <c r="AK150" s="422">
        <v>-0.27870350300000002</v>
      </c>
      <c r="AL150" s="422">
        <v>6.3676513000000004E-2</v>
      </c>
      <c r="AM150" s="422">
        <v>30</v>
      </c>
      <c r="AN150" s="422">
        <v>-4.9943100000000005E-4</v>
      </c>
      <c r="AO150" s="422">
        <v>4.7675410000000001E-3</v>
      </c>
      <c r="AP150" s="422">
        <v>0.71693996699999996</v>
      </c>
      <c r="AQ150" s="422">
        <v>3.9056620660000001</v>
      </c>
      <c r="AR150" s="422">
        <v>0.21518864600000001</v>
      </c>
      <c r="AS150" s="422">
        <v>30</v>
      </c>
      <c r="AT150" s="422">
        <v>1.0239039E-2</v>
      </c>
      <c r="AU150" s="422">
        <v>0.175461325</v>
      </c>
      <c r="AV150" s="422">
        <v>2.1227296E-2</v>
      </c>
      <c r="AW150" s="422">
        <v>-0.413602266</v>
      </c>
      <c r="AX150" s="422">
        <v>0.22382958999999999</v>
      </c>
      <c r="AY150" s="422">
        <v>30</v>
      </c>
      <c r="AZ150" s="422">
        <v>1.1348784000000001E-2</v>
      </c>
      <c r="BA150" s="422">
        <v>0.19923487200000001</v>
      </c>
      <c r="BB150" s="422">
        <v>1.3417431E-2</v>
      </c>
      <c r="BC150" s="422">
        <v>-5.8582520540000003</v>
      </c>
      <c r="BD150" s="422">
        <v>7.6095723900000003</v>
      </c>
      <c r="BE150" s="422">
        <v>30</v>
      </c>
      <c r="BF150" s="422">
        <v>0.14823540800000001</v>
      </c>
      <c r="BG150" s="422">
        <v>2.9409327999999998E-2</v>
      </c>
      <c r="BH150" s="422">
        <v>0.36487039100000002</v>
      </c>
      <c r="BI150" s="422">
        <v>-18.456394209999999</v>
      </c>
      <c r="BJ150" s="422">
        <v>7.5165715080000002</v>
      </c>
      <c r="BK150" s="422">
        <v>30</v>
      </c>
      <c r="BL150" s="422">
        <v>0.147637412</v>
      </c>
      <c r="BM150" s="422">
        <v>2.9898883000000001E-2</v>
      </c>
      <c r="BN150" s="422">
        <v>0.36084856399999998</v>
      </c>
      <c r="BO150" s="422">
        <v>1.1908269000000001E-2</v>
      </c>
      <c r="BP150" s="423">
        <v>3.2599999999999998E-7</v>
      </c>
      <c r="BQ150" s="422">
        <v>1.1813509999999999E-2</v>
      </c>
      <c r="BR150" s="423">
        <v>3.0600000000000001E-7</v>
      </c>
      <c r="BS150" s="422">
        <v>1.1944131E-2</v>
      </c>
      <c r="BT150" s="422">
        <v>4.2513960000000002E-3</v>
      </c>
      <c r="BU150" s="423">
        <v>6.3699999999999995E-8</v>
      </c>
      <c r="BV150" s="422">
        <v>4.2422400000000004E-3</v>
      </c>
      <c r="BW150" s="423">
        <v>4.1999999999999999E-8</v>
      </c>
      <c r="BX150" s="422">
        <v>4.1636570000000003E-3</v>
      </c>
      <c r="BY150" s="423">
        <v>4.85E-5</v>
      </c>
      <c r="BZ150" s="423">
        <v>2.7099999999999999E-9</v>
      </c>
      <c r="CA150" s="423">
        <v>4.8000000000000001E-5</v>
      </c>
      <c r="CB150" s="423">
        <v>1.25E-9</v>
      </c>
      <c r="CC150" s="423">
        <v>4.8000000000000001E-5</v>
      </c>
      <c r="CD150" s="423">
        <v>4.6500000000000004E-6</v>
      </c>
      <c r="CE150" s="423">
        <v>5.9799999999999996E-9</v>
      </c>
      <c r="CF150" s="423">
        <v>4.6299999999999997E-6</v>
      </c>
      <c r="CG150" s="423">
        <v>5.52E-9</v>
      </c>
      <c r="CH150" s="423">
        <v>4.33E-6</v>
      </c>
      <c r="CI150" s="423">
        <v>8.0799999999999996E-8</v>
      </c>
      <c r="CJ150" s="423">
        <v>2.2200000000000002E-9</v>
      </c>
      <c r="CK150" s="423">
        <v>8.1299999999999993E-8</v>
      </c>
      <c r="CL150" s="423">
        <v>2.0799999999999998E-9</v>
      </c>
      <c r="CM150" s="423">
        <v>4.73E-8</v>
      </c>
      <c r="CN150" s="424">
        <v>45203.868055555555</v>
      </c>
      <c r="CO150" s="422">
        <v>1696477803</v>
      </c>
      <c r="CP150" s="422" t="s">
        <v>420</v>
      </c>
      <c r="CQ150" s="422" t="s">
        <v>416</v>
      </c>
      <c r="CR150" s="422" t="s">
        <v>415</v>
      </c>
      <c r="CS150" s="422">
        <v>1406</v>
      </c>
      <c r="CT150" s="422">
        <v>49.560389999999998</v>
      </c>
      <c r="CU150" s="422">
        <v>2.6800000000000001E-3</v>
      </c>
      <c r="CV150" s="422">
        <v>2</v>
      </c>
      <c r="CW150" s="423">
        <v>2.66E-8</v>
      </c>
      <c r="CX150" s="423">
        <v>1.05E-7</v>
      </c>
      <c r="CY150" s="422">
        <v>3</v>
      </c>
      <c r="CZ150" s="422">
        <v>30</v>
      </c>
      <c r="DA150" s="423">
        <v>2.65E-7</v>
      </c>
      <c r="DB150" s="423">
        <v>8.9000000000000003E-8</v>
      </c>
      <c r="DC150" s="422">
        <v>0.17992069999999999</v>
      </c>
      <c r="DD150" s="423">
        <v>8.5100000000000001E-8</v>
      </c>
      <c r="DE150" s="423">
        <v>7.3900000000000007E-8</v>
      </c>
      <c r="DF150" s="423">
        <v>6.4099999999999998E-8</v>
      </c>
      <c r="DG150" s="423">
        <v>4.1300000000000004E-12</v>
      </c>
      <c r="DH150" s="423">
        <v>3.5899999999999998E-12</v>
      </c>
      <c r="DI150" s="423">
        <v>3.1099999999999999E-12</v>
      </c>
      <c r="DJ150" s="422">
        <v>-0.70670633699999996</v>
      </c>
      <c r="DK150" s="422">
        <v>-0.34053147</v>
      </c>
      <c r="DL150" s="422">
        <v>-4.7535609E-2</v>
      </c>
      <c r="DM150" s="423">
        <v>-8.1399999999999998E-10</v>
      </c>
      <c r="DN150" s="423">
        <v>-7.9800000000000004E-10</v>
      </c>
      <c r="DO150" s="422">
        <v>3.5249211000000003E-2</v>
      </c>
      <c r="DP150" s="422">
        <v>-2.1146461940000001</v>
      </c>
      <c r="DQ150" s="422">
        <v>-4.6571351620000003</v>
      </c>
      <c r="DR150" s="422">
        <v>0.62372953600000003</v>
      </c>
      <c r="DS150" s="422">
        <v>-5.6134178999999999E-2</v>
      </c>
    </row>
    <row r="151" spans="1:124" x14ac:dyDescent="0.2">
      <c r="A151" s="422">
        <v>1986</v>
      </c>
      <c r="B151" s="422" t="s">
        <v>426</v>
      </c>
      <c r="C151" s="422" t="s">
        <v>426</v>
      </c>
      <c r="D151" s="422" t="s">
        <v>426</v>
      </c>
      <c r="E151" s="422">
        <v>1</v>
      </c>
      <c r="F151" s="422" t="s">
        <v>418</v>
      </c>
      <c r="G151" s="422">
        <v>2.3499815819999998</v>
      </c>
      <c r="H151" s="422">
        <v>5.3832580000000001E-3</v>
      </c>
      <c r="I151" s="422">
        <v>30</v>
      </c>
      <c r="J151" s="422">
        <v>-2.26073E-4</v>
      </c>
      <c r="K151" s="422">
        <v>0.13668148399999999</v>
      </c>
      <c r="L151" s="422">
        <v>4.4347418E-2</v>
      </c>
      <c r="M151" s="422">
        <v>-2.8024485860000001</v>
      </c>
      <c r="N151" s="422">
        <v>7.8294780000000008E-3</v>
      </c>
      <c r="O151" s="422">
        <v>30</v>
      </c>
      <c r="P151" s="422">
        <v>-4.5199299999999998E-4</v>
      </c>
      <c r="Q151" s="422">
        <v>0.25828566200000003</v>
      </c>
      <c r="R151" s="422">
        <v>4.1389560000000001E-3</v>
      </c>
      <c r="S151" s="422">
        <v>12.002774280000001</v>
      </c>
      <c r="T151" s="422">
        <v>5.2094949999999998E-3</v>
      </c>
      <c r="U151" s="422">
        <v>30</v>
      </c>
      <c r="V151" s="422">
        <v>-2.29163E-4</v>
      </c>
      <c r="W151" s="422">
        <v>0.149968728</v>
      </c>
      <c r="X151" s="422">
        <v>3.4493060999999998E-2</v>
      </c>
      <c r="Y151" s="422">
        <v>4.6537824529999998</v>
      </c>
      <c r="Z151" s="422">
        <v>7.8853499999999993E-3</v>
      </c>
      <c r="AA151" s="422">
        <v>30</v>
      </c>
      <c r="AB151" s="422">
        <v>-4.5539899999999999E-4</v>
      </c>
      <c r="AC151" s="422">
        <v>0.25848963200000002</v>
      </c>
      <c r="AD151" s="422">
        <v>4.1217229999999999E-3</v>
      </c>
      <c r="AE151" s="422">
        <v>16.285415050000001</v>
      </c>
      <c r="AF151" s="422">
        <v>5.2180562999999999E-2</v>
      </c>
      <c r="AG151" s="422">
        <v>30</v>
      </c>
      <c r="AH151" s="422">
        <v>-1.8276999999999999E-4</v>
      </c>
      <c r="AI151" s="422">
        <v>9.5081199999999999E-4</v>
      </c>
      <c r="AJ151" s="422">
        <v>0.87150012300000002</v>
      </c>
      <c r="AK151" s="422">
        <v>-0.72075782099999997</v>
      </c>
      <c r="AL151" s="422">
        <v>4.9542464000000001E-2</v>
      </c>
      <c r="AM151" s="422">
        <v>30</v>
      </c>
      <c r="AN151" s="422">
        <v>4.9909800000000001E-4</v>
      </c>
      <c r="AO151" s="422">
        <v>7.865347E-3</v>
      </c>
      <c r="AP151" s="422">
        <v>0.64118892100000002</v>
      </c>
      <c r="AQ151" s="422">
        <v>8.8912987890000004</v>
      </c>
      <c r="AR151" s="422">
        <v>0.27419527999999999</v>
      </c>
      <c r="AS151" s="422">
        <v>30</v>
      </c>
      <c r="AT151" s="422">
        <v>-1.947432E-3</v>
      </c>
      <c r="AU151" s="422">
        <v>3.9093660000000001E-3</v>
      </c>
      <c r="AV151" s="422">
        <v>0.74273574200000003</v>
      </c>
      <c r="AW151" s="422">
        <v>-0.43376663300000001</v>
      </c>
      <c r="AX151" s="422">
        <v>0.27363706900000001</v>
      </c>
      <c r="AY151" s="422">
        <v>30</v>
      </c>
      <c r="AZ151" s="422">
        <v>-1.0234389999999999E-3</v>
      </c>
      <c r="BA151" s="422">
        <v>1.084116E-3</v>
      </c>
      <c r="BB151" s="422">
        <v>0.86286663699999999</v>
      </c>
      <c r="BC151" s="422">
        <v>-7.6351434869999997</v>
      </c>
      <c r="BD151" s="422">
        <v>7.7438936690000002</v>
      </c>
      <c r="BE151" s="422">
        <v>30</v>
      </c>
      <c r="BF151" s="422">
        <v>-0.177161131</v>
      </c>
      <c r="BG151" s="422">
        <v>4.0562043999999998E-2</v>
      </c>
      <c r="BH151" s="422">
        <v>0.285870238</v>
      </c>
      <c r="BI151" s="422">
        <v>-29.075272850000001</v>
      </c>
      <c r="BJ151" s="422">
        <v>7.5729985859999998</v>
      </c>
      <c r="BK151" s="422">
        <v>30</v>
      </c>
      <c r="BL151" s="422">
        <v>-0.17222609699999999</v>
      </c>
      <c r="BM151" s="422">
        <v>4.0083336999999997E-2</v>
      </c>
      <c r="BN151" s="422">
        <v>0.28879128599999998</v>
      </c>
      <c r="BO151" s="422">
        <v>1.1955075000000001E-2</v>
      </c>
      <c r="BP151" s="423">
        <v>2.8200000000000001E-7</v>
      </c>
      <c r="BQ151" s="422">
        <v>1.1813283000000001E-2</v>
      </c>
      <c r="BR151" s="423">
        <v>2.53E-7</v>
      </c>
      <c r="BS151" s="422">
        <v>1.1991309E-2</v>
      </c>
      <c r="BT151" s="422">
        <v>4.2619679999999997E-3</v>
      </c>
      <c r="BU151" s="423">
        <v>4.8200000000000001E-8</v>
      </c>
      <c r="BV151" s="422">
        <v>4.242226E-3</v>
      </c>
      <c r="BW151" s="423">
        <v>3.5999999999999998E-8</v>
      </c>
      <c r="BX151" s="422">
        <v>4.1740249999999996E-3</v>
      </c>
      <c r="BY151" s="423">
        <v>4.88E-5</v>
      </c>
      <c r="BZ151" s="423">
        <v>2.52E-9</v>
      </c>
      <c r="CA151" s="423">
        <v>4.8000000000000001E-5</v>
      </c>
      <c r="CB151" s="423">
        <v>2.0500000000000002E-9</v>
      </c>
      <c r="CC151" s="423">
        <v>4.8300000000000002E-5</v>
      </c>
      <c r="CD151" s="423">
        <v>4.6700000000000002E-6</v>
      </c>
      <c r="CE151" s="423">
        <v>5.8299999999999999E-9</v>
      </c>
      <c r="CF151" s="423">
        <v>4.6299999999999997E-6</v>
      </c>
      <c r="CG151" s="423">
        <v>5.8399999999999997E-9</v>
      </c>
      <c r="CH151" s="423">
        <v>4.3499999999999999E-6</v>
      </c>
      <c r="CI151" s="423">
        <v>8.1800000000000005E-8</v>
      </c>
      <c r="CJ151" s="423">
        <v>2.1000000000000002E-9</v>
      </c>
      <c r="CK151" s="423">
        <v>8.2399999999999997E-8</v>
      </c>
      <c r="CL151" s="423">
        <v>2.1999999999999998E-9</v>
      </c>
      <c r="CM151" s="423">
        <v>4.7199999999999999E-8</v>
      </c>
      <c r="CN151" s="424">
        <v>45203.228472222225</v>
      </c>
      <c r="CO151" s="422">
        <v>1696422589</v>
      </c>
      <c r="CP151" s="422" t="s">
        <v>417</v>
      </c>
      <c r="CQ151" s="422" t="s">
        <v>416</v>
      </c>
      <c r="CR151" s="422" t="s">
        <v>415</v>
      </c>
      <c r="CS151" s="422">
        <v>1416</v>
      </c>
      <c r="CT151" s="422">
        <v>48.248130000000003</v>
      </c>
      <c r="CU151" s="422">
        <v>2.5600000000000002E-3</v>
      </c>
      <c r="CV151" s="422">
        <v>2</v>
      </c>
      <c r="CW151" s="423">
        <v>2.85E-8</v>
      </c>
      <c r="CX151" s="423">
        <v>1.05E-7</v>
      </c>
      <c r="CY151" s="422">
        <v>3</v>
      </c>
      <c r="CZ151" s="422">
        <v>30</v>
      </c>
      <c r="DA151" s="423">
        <v>2.65E-7</v>
      </c>
      <c r="DB151" s="423">
        <v>8.6700000000000002E-8</v>
      </c>
      <c r="DC151" s="422">
        <v>0.1370371</v>
      </c>
      <c r="DD151" s="423">
        <v>8.2899999999999995E-8</v>
      </c>
      <c r="DE151" s="423">
        <v>7.2100000000000004E-8</v>
      </c>
      <c r="DF151" s="423">
        <v>6.2600000000000005E-8</v>
      </c>
      <c r="DG151" s="423">
        <v>4.0499999999999999E-12</v>
      </c>
      <c r="DH151" s="423">
        <v>3.5199999999999999E-12</v>
      </c>
      <c r="DI151" s="423">
        <v>3.0500000000000001E-12</v>
      </c>
      <c r="DJ151" s="422">
        <v>-0.88272249999999997</v>
      </c>
      <c r="DK151" s="422">
        <v>-0.47483023800000002</v>
      </c>
      <c r="DL151" s="422">
        <v>-9.4209343000000001E-2</v>
      </c>
      <c r="DM151" s="423">
        <v>-7.8499999999999998E-10</v>
      </c>
      <c r="DN151" s="423">
        <v>-7.6500000000000005E-10</v>
      </c>
      <c r="DO151" s="422">
        <v>3.4073538E-2</v>
      </c>
      <c r="DP151" s="422">
        <v>2.0253855669999998</v>
      </c>
      <c r="DQ151" s="422">
        <v>-2.1939483609999999</v>
      </c>
      <c r="DR151" s="422">
        <v>0.17274662599999999</v>
      </c>
      <c r="DS151" s="422">
        <v>5.6077146000000001E-2</v>
      </c>
    </row>
    <row r="152" spans="1:124" x14ac:dyDescent="0.2">
      <c r="A152" s="422">
        <v>1992</v>
      </c>
      <c r="B152" s="422" t="s">
        <v>426</v>
      </c>
      <c r="C152" s="422" t="s">
        <v>426</v>
      </c>
      <c r="D152" s="422" t="s">
        <v>426</v>
      </c>
      <c r="E152" s="422">
        <v>1</v>
      </c>
      <c r="F152" s="422" t="s">
        <v>418</v>
      </c>
      <c r="G152" s="422">
        <v>2.3891890349999998</v>
      </c>
      <c r="H152" s="422">
        <v>4.6983600000000004E-3</v>
      </c>
      <c r="I152" s="422">
        <v>30</v>
      </c>
      <c r="J152" s="423">
        <v>-4.0899999999999998E-5</v>
      </c>
      <c r="K152" s="422">
        <v>5.8857479999999997E-3</v>
      </c>
      <c r="L152" s="422">
        <v>0.68698880600000001</v>
      </c>
      <c r="M152" s="422">
        <v>-2.800260395</v>
      </c>
      <c r="N152" s="422">
        <v>7.6055109999999997E-3</v>
      </c>
      <c r="O152" s="422">
        <v>30</v>
      </c>
      <c r="P152" s="422">
        <v>-4.9632699999999997E-4</v>
      </c>
      <c r="Q152" s="422">
        <v>0.33005016799999998</v>
      </c>
      <c r="R152" s="422">
        <v>8.99554E-4</v>
      </c>
      <c r="S152" s="422">
        <v>12.03984455</v>
      </c>
      <c r="T152" s="422">
        <v>4.4745150000000001E-3</v>
      </c>
      <c r="U152" s="422">
        <v>30</v>
      </c>
      <c r="V152" s="423">
        <v>-5.5999999999999999E-5</v>
      </c>
      <c r="W152" s="422">
        <v>1.2157968999999999E-2</v>
      </c>
      <c r="X152" s="422">
        <v>0.561882624</v>
      </c>
      <c r="Y152" s="422">
        <v>4.6560676409999999</v>
      </c>
      <c r="Z152" s="422">
        <v>7.6560300000000003E-3</v>
      </c>
      <c r="AA152" s="422">
        <v>30</v>
      </c>
      <c r="AB152" s="422">
        <v>-4.9962800000000001E-4</v>
      </c>
      <c r="AC152" s="422">
        <v>0.33005604599999999</v>
      </c>
      <c r="AD152" s="422">
        <v>8.99437E-4</v>
      </c>
      <c r="AE152" s="422">
        <v>16.338943740000001</v>
      </c>
      <c r="AF152" s="422">
        <v>5.9472444999999999E-2</v>
      </c>
      <c r="AG152" s="422">
        <v>30</v>
      </c>
      <c r="AH152" s="422">
        <v>-1.561879E-3</v>
      </c>
      <c r="AI152" s="422">
        <v>5.3452115000000001E-2</v>
      </c>
      <c r="AJ152" s="422">
        <v>0.21897856800000001</v>
      </c>
      <c r="AK152" s="422">
        <v>-0.70812189699999994</v>
      </c>
      <c r="AL152" s="422">
        <v>5.9132861000000002E-2</v>
      </c>
      <c r="AM152" s="422">
        <v>30</v>
      </c>
      <c r="AN152" s="422">
        <v>-9.8998599999999999E-4</v>
      </c>
      <c r="AO152" s="422">
        <v>2.1722128E-2</v>
      </c>
      <c r="AP152" s="422">
        <v>0.43703244400000002</v>
      </c>
      <c r="AQ152" s="422">
        <v>8.9887458070000008</v>
      </c>
      <c r="AR152" s="422">
        <v>0.23470414000000001</v>
      </c>
      <c r="AS152" s="422">
        <v>30</v>
      </c>
      <c r="AT152" s="422">
        <v>3.9899209999999996E-3</v>
      </c>
      <c r="AU152" s="422">
        <v>2.2396942E-2</v>
      </c>
      <c r="AV152" s="422">
        <v>0.42991902300000001</v>
      </c>
      <c r="AW152" s="422">
        <v>-0.341767561</v>
      </c>
      <c r="AX152" s="422">
        <v>0.23512113300000001</v>
      </c>
      <c r="AY152" s="422">
        <v>30</v>
      </c>
      <c r="AZ152" s="422">
        <v>4.9472120000000003E-3</v>
      </c>
      <c r="BA152" s="422">
        <v>3.4311479999999998E-2</v>
      </c>
      <c r="BB152" s="422">
        <v>0.32710055100000002</v>
      </c>
      <c r="BC152" s="422">
        <v>-1.1383835950000001</v>
      </c>
      <c r="BD152" s="422">
        <v>5.7877770909999997</v>
      </c>
      <c r="BE152" s="422">
        <v>30</v>
      </c>
      <c r="BF152" s="422">
        <v>-0.21959429</v>
      </c>
      <c r="BG152" s="422">
        <v>0.11156300299999999</v>
      </c>
      <c r="BH152" s="422">
        <v>7.1243421000000001E-2</v>
      </c>
      <c r="BI152" s="422">
        <v>-22.76135902</v>
      </c>
      <c r="BJ152" s="422">
        <v>5.663343373</v>
      </c>
      <c r="BK152" s="422">
        <v>30</v>
      </c>
      <c r="BL152" s="422">
        <v>-0.21382633200000001</v>
      </c>
      <c r="BM152" s="422">
        <v>0.11047863199999999</v>
      </c>
      <c r="BN152" s="422">
        <v>7.2718063999999999E-2</v>
      </c>
      <c r="BO152" s="422">
        <v>1.1955380999999999E-2</v>
      </c>
      <c r="BP152" s="423">
        <v>3.0499999999999999E-7</v>
      </c>
      <c r="BQ152" s="422">
        <v>1.1813152E-2</v>
      </c>
      <c r="BR152" s="423">
        <v>2.9799999999999999E-7</v>
      </c>
      <c r="BS152" s="422">
        <v>1.1991748E-2</v>
      </c>
      <c r="BT152" s="422">
        <v>4.2619570000000002E-3</v>
      </c>
      <c r="BU152" s="423">
        <v>5.4E-8</v>
      </c>
      <c r="BV152" s="422">
        <v>4.2422049999999998E-3</v>
      </c>
      <c r="BW152" s="423">
        <v>4.14E-8</v>
      </c>
      <c r="BX152" s="422">
        <v>4.1740350000000004E-3</v>
      </c>
      <c r="BY152" s="423">
        <v>4.88E-5</v>
      </c>
      <c r="BZ152" s="423">
        <v>2.7700000000000002E-9</v>
      </c>
      <c r="CA152" s="423">
        <v>4.8000000000000001E-5</v>
      </c>
      <c r="CB152" s="423">
        <v>1.8400000000000001E-9</v>
      </c>
      <c r="CC152" s="423">
        <v>4.8300000000000002E-5</v>
      </c>
      <c r="CD152" s="423">
        <v>4.6700000000000002E-6</v>
      </c>
      <c r="CE152" s="423">
        <v>5.5299999999999997E-9</v>
      </c>
      <c r="CF152" s="423">
        <v>4.6299999999999997E-6</v>
      </c>
      <c r="CG152" s="423">
        <v>5.3300000000000004E-9</v>
      </c>
      <c r="CH152" s="423">
        <v>4.3499999999999999E-6</v>
      </c>
      <c r="CI152" s="423">
        <v>8.1199999999999999E-8</v>
      </c>
      <c r="CJ152" s="423">
        <v>1.9800000000000002E-9</v>
      </c>
      <c r="CK152" s="423">
        <v>8.1299999999999993E-8</v>
      </c>
      <c r="CL152" s="423">
        <v>2.1299999999999999E-9</v>
      </c>
      <c r="CM152" s="423">
        <v>4.7500000000000002E-8</v>
      </c>
      <c r="CN152" s="424">
        <v>45203.602083333331</v>
      </c>
      <c r="CO152" s="422">
        <v>1696454836</v>
      </c>
      <c r="CP152" s="422" t="s">
        <v>420</v>
      </c>
      <c r="CQ152" s="422" t="s">
        <v>416</v>
      </c>
      <c r="CR152" s="422" t="s">
        <v>415</v>
      </c>
      <c r="CS152" s="422">
        <v>1405</v>
      </c>
      <c r="CT152" s="422">
        <v>49.407800000000002</v>
      </c>
      <c r="CU152" s="422">
        <v>2.5600000000000002E-3</v>
      </c>
      <c r="CV152" s="422">
        <v>2</v>
      </c>
      <c r="CW152" s="423">
        <v>2.8299999999999999E-8</v>
      </c>
      <c r="CX152" s="423">
        <v>1.05E-7</v>
      </c>
      <c r="CY152" s="422">
        <v>3</v>
      </c>
      <c r="CZ152" s="422">
        <v>30</v>
      </c>
      <c r="DA152" s="423">
        <v>2.65E-7</v>
      </c>
      <c r="DB152" s="423">
        <v>8.9299999999999999E-8</v>
      </c>
      <c r="DC152" s="422">
        <v>0.13189329999999999</v>
      </c>
      <c r="DD152" s="423">
        <v>8.5300000000000003E-8</v>
      </c>
      <c r="DE152" s="423">
        <v>7.4099999999999995E-8</v>
      </c>
      <c r="DF152" s="423">
        <v>6.4200000000000006E-8</v>
      </c>
      <c r="DG152" s="423">
        <v>4.16E-12</v>
      </c>
      <c r="DH152" s="423">
        <v>3.6199999999999999E-12</v>
      </c>
      <c r="DI152" s="423">
        <v>3.1300000000000002E-12</v>
      </c>
      <c r="DJ152" s="422">
        <v>-0.84512782399999997</v>
      </c>
      <c r="DK152" s="422">
        <v>-0.45370566400000001</v>
      </c>
      <c r="DL152" s="422">
        <v>-0.134223116</v>
      </c>
      <c r="DM152" s="423">
        <v>-8.1599999999999997E-10</v>
      </c>
      <c r="DN152" s="423">
        <v>-8.0200000000000002E-10</v>
      </c>
      <c r="DO152" s="422">
        <v>3.5165693999999997E-2</v>
      </c>
      <c r="DP152" s="422">
        <v>2.0647077619999998</v>
      </c>
      <c r="DQ152" s="422">
        <v>-2.1917669430000002</v>
      </c>
      <c r="DR152" s="422">
        <v>0.18595136800000001</v>
      </c>
      <c r="DS152" s="422">
        <v>0.21637704599999999</v>
      </c>
    </row>
    <row r="153" spans="1:124" x14ac:dyDescent="0.2">
      <c r="A153" s="422">
        <v>2018</v>
      </c>
      <c r="B153" s="422" t="s">
        <v>426</v>
      </c>
      <c r="C153" s="422" t="s">
        <v>426</v>
      </c>
      <c r="D153" s="422" t="s">
        <v>426</v>
      </c>
      <c r="E153" s="422">
        <v>1</v>
      </c>
      <c r="F153" s="422" t="s">
        <v>425</v>
      </c>
      <c r="G153" s="422">
        <v>2.2706529369999999</v>
      </c>
      <c r="H153" s="422">
        <v>6.6932620000000002E-3</v>
      </c>
      <c r="I153" s="422">
        <v>30</v>
      </c>
      <c r="J153" s="422">
        <v>-5.7509200000000003E-4</v>
      </c>
      <c r="K153" s="422">
        <v>0.57213736900000001</v>
      </c>
      <c r="L153" s="423">
        <v>1.33E-6</v>
      </c>
      <c r="M153" s="422">
        <v>-2.8193928060000002</v>
      </c>
      <c r="N153" s="422">
        <v>1.5325712999999999E-2</v>
      </c>
      <c r="O153" s="422">
        <v>30</v>
      </c>
      <c r="P153" s="422">
        <v>-1.3197840000000001E-3</v>
      </c>
      <c r="Q153" s="422">
        <v>0.57473258100000002</v>
      </c>
      <c r="R153" s="423">
        <v>1.22E-6</v>
      </c>
      <c r="S153" s="422">
        <v>11.92733071</v>
      </c>
      <c r="T153" s="422">
        <v>6.6249020000000002E-3</v>
      </c>
      <c r="U153" s="422">
        <v>30</v>
      </c>
      <c r="V153" s="422">
        <v>-5.8891599999999998E-4</v>
      </c>
      <c r="W153" s="422">
        <v>0.61242033799999995</v>
      </c>
      <c r="X153" s="423">
        <v>3.2300000000000002E-7</v>
      </c>
      <c r="Y153" s="422">
        <v>4.6365609059999997</v>
      </c>
      <c r="Z153" s="422">
        <v>1.5432721E-2</v>
      </c>
      <c r="AA153" s="422">
        <v>30</v>
      </c>
      <c r="AB153" s="422">
        <v>-1.3295469999999999E-3</v>
      </c>
      <c r="AC153" s="422">
        <v>0.57520661299999998</v>
      </c>
      <c r="AD153" s="423">
        <v>1.1999999999999999E-6</v>
      </c>
      <c r="AE153" s="422">
        <v>16.219646990000001</v>
      </c>
      <c r="AF153" s="422">
        <v>9.1792588999999994E-2</v>
      </c>
      <c r="AG153" s="422">
        <v>30</v>
      </c>
      <c r="AH153" s="422">
        <v>-5.75626E-3</v>
      </c>
      <c r="AI153" s="422">
        <v>0.30476647299999998</v>
      </c>
      <c r="AJ153" s="422">
        <v>1.562346E-3</v>
      </c>
      <c r="AK153" s="422">
        <v>-0.69173190100000004</v>
      </c>
      <c r="AL153" s="422">
        <v>8.4179346000000002E-2</v>
      </c>
      <c r="AM153" s="422">
        <v>30</v>
      </c>
      <c r="AN153" s="422">
        <v>-3.760242E-3</v>
      </c>
      <c r="AO153" s="422">
        <v>0.15464008900000001</v>
      </c>
      <c r="AP153" s="422">
        <v>3.1569200999999998E-2</v>
      </c>
      <c r="AQ153" s="422">
        <v>9.0364624970000005</v>
      </c>
      <c r="AR153" s="422">
        <v>0.42971062999999998</v>
      </c>
      <c r="AS153" s="422">
        <v>30</v>
      </c>
      <c r="AT153" s="422">
        <v>2.4222701999999999E-2</v>
      </c>
      <c r="AU153" s="422">
        <v>0.24626044899999999</v>
      </c>
      <c r="AV153" s="422">
        <v>5.2854449999999997E-3</v>
      </c>
      <c r="AW153" s="422">
        <v>-0.25566471299999999</v>
      </c>
      <c r="AX153" s="422">
        <v>0.44126269000000001</v>
      </c>
      <c r="AY153" s="422">
        <v>30</v>
      </c>
      <c r="AZ153" s="422">
        <v>2.6646642000000002E-2</v>
      </c>
      <c r="BA153" s="422">
        <v>0.28261307800000002</v>
      </c>
      <c r="BB153" s="422">
        <v>2.5008880000000002E-3</v>
      </c>
      <c r="BC153" s="422">
        <v>-4.4510094279999999</v>
      </c>
      <c r="BD153" s="422">
        <v>10.00251739</v>
      </c>
      <c r="BE153" s="422">
        <v>30</v>
      </c>
      <c r="BF153" s="422">
        <v>0.335481009</v>
      </c>
      <c r="BG153" s="422">
        <v>8.7180418999999995E-2</v>
      </c>
      <c r="BH153" s="422">
        <v>0.113181291</v>
      </c>
      <c r="BI153" s="422">
        <v>-25.84962706</v>
      </c>
      <c r="BJ153" s="422">
        <v>9.7957891949999993</v>
      </c>
      <c r="BK153" s="422">
        <v>30</v>
      </c>
      <c r="BL153" s="422">
        <v>0.33141340899999999</v>
      </c>
      <c r="BM153" s="422">
        <v>8.8708042000000001E-2</v>
      </c>
      <c r="BN153" s="422">
        <v>0.10992426199999999</v>
      </c>
      <c r="BO153" s="422">
        <v>1.1954012999999999E-2</v>
      </c>
      <c r="BP153" s="423">
        <v>3.4799999999999999E-7</v>
      </c>
      <c r="BQ153" s="422">
        <v>1.1813114E-2</v>
      </c>
      <c r="BR153" s="423">
        <v>2.8200000000000001E-7</v>
      </c>
      <c r="BS153" s="422">
        <v>1.1990415000000001E-2</v>
      </c>
      <c r="BT153" s="422">
        <v>4.2631789999999998E-3</v>
      </c>
      <c r="BU153" s="423">
        <v>2.0800000000000001E-7</v>
      </c>
      <c r="BV153" s="422">
        <v>4.243503E-3</v>
      </c>
      <c r="BW153" s="423">
        <v>1.5599999999999999E-7</v>
      </c>
      <c r="BX153" s="422">
        <v>4.1739539999999997E-3</v>
      </c>
      <c r="BY153" s="423">
        <v>4.8900000000000003E-5</v>
      </c>
      <c r="BZ153" s="423">
        <v>3.0399999999999998E-9</v>
      </c>
      <c r="CA153" s="423">
        <v>4.8099999999999997E-5</v>
      </c>
      <c r="CB153" s="423">
        <v>2.93E-9</v>
      </c>
      <c r="CC153" s="423">
        <v>4.8300000000000002E-5</v>
      </c>
      <c r="CD153" s="423">
        <v>4.7600000000000002E-6</v>
      </c>
      <c r="CE153" s="423">
        <v>9.4300000000000007E-9</v>
      </c>
      <c r="CF153" s="423">
        <v>4.7199999999999997E-6</v>
      </c>
      <c r="CG153" s="423">
        <v>8.2700000000000006E-9</v>
      </c>
      <c r="CH153" s="423">
        <v>4.3499999999999999E-6</v>
      </c>
      <c r="CI153" s="423">
        <v>1.12E-7</v>
      </c>
      <c r="CJ153" s="423">
        <v>3.5400000000000002E-9</v>
      </c>
      <c r="CK153" s="423">
        <v>1.12E-7</v>
      </c>
      <c r="CL153" s="423">
        <v>3.2000000000000001E-9</v>
      </c>
      <c r="CM153" s="423">
        <v>4.73E-8</v>
      </c>
      <c r="CN153" s="424">
        <v>45204.834027777775</v>
      </c>
      <c r="CO153" s="422">
        <v>1696561299</v>
      </c>
      <c r="CP153" s="422" t="s">
        <v>420</v>
      </c>
      <c r="CQ153" s="422" t="s">
        <v>416</v>
      </c>
      <c r="CR153" s="422" t="s">
        <v>415</v>
      </c>
      <c r="CS153" s="422">
        <v>1466</v>
      </c>
      <c r="CT153" s="422">
        <v>54.870449999999998</v>
      </c>
      <c r="CU153" s="422">
        <v>2.6800000000000001E-3</v>
      </c>
      <c r="CV153" s="422">
        <v>3</v>
      </c>
      <c r="CW153" s="423">
        <v>2.7899999999999998E-8</v>
      </c>
      <c r="CX153" s="423">
        <v>1.05E-7</v>
      </c>
      <c r="CY153" s="422">
        <v>3</v>
      </c>
      <c r="CZ153" s="422">
        <v>30</v>
      </c>
      <c r="DA153" s="423">
        <v>2.65E-7</v>
      </c>
      <c r="DB153" s="423">
        <v>3.5999999999999998E-8</v>
      </c>
      <c r="DC153" s="422">
        <v>0.18497930000000001</v>
      </c>
      <c r="DD153" s="423">
        <v>3.5199999999999998E-8</v>
      </c>
      <c r="DE153" s="423">
        <v>3.1599999999999998E-8</v>
      </c>
      <c r="DF153" s="423">
        <v>2.8299999999999999E-8</v>
      </c>
      <c r="DG153" s="423">
        <v>1.7199999999999999E-12</v>
      </c>
      <c r="DH153" s="423">
        <v>1.5500000000000001E-12</v>
      </c>
      <c r="DI153" s="423">
        <v>1.38E-12</v>
      </c>
      <c r="DJ153" s="422">
        <v>-1.8695975890000001</v>
      </c>
      <c r="DK153" s="422">
        <v>-1.0034019599999999</v>
      </c>
      <c r="DL153" s="422">
        <v>-0.15772006799999999</v>
      </c>
      <c r="DM153" s="423">
        <v>-2.5100000000000001E-10</v>
      </c>
      <c r="DN153" s="423">
        <v>-2.32E-10</v>
      </c>
      <c r="DO153" s="422">
        <v>3.7428682999999997E-2</v>
      </c>
      <c r="DP153" s="422">
        <v>1.9458247630000001</v>
      </c>
      <c r="DQ153" s="422">
        <v>-2.2108401400000002</v>
      </c>
      <c r="DR153" s="422">
        <v>0.20282109300000001</v>
      </c>
      <c r="DS153" s="422">
        <v>0.36512364400000002</v>
      </c>
    </row>
    <row r="154" spans="1:124" x14ac:dyDescent="0.2">
      <c r="A154" s="422">
        <v>1987</v>
      </c>
      <c r="B154" s="422" t="s">
        <v>424</v>
      </c>
      <c r="C154" s="422" t="s">
        <v>424</v>
      </c>
      <c r="D154" s="422" t="s">
        <v>424</v>
      </c>
      <c r="E154" s="422">
        <v>1</v>
      </c>
      <c r="F154" s="422" t="s">
        <v>418</v>
      </c>
      <c r="G154" s="422">
        <v>-9.7725267260000006</v>
      </c>
      <c r="H154" s="422">
        <v>6.1151169999999998E-3</v>
      </c>
      <c r="I154" s="422">
        <v>29</v>
      </c>
      <c r="J154" s="422">
        <v>2.4302699999999999E-4</v>
      </c>
      <c r="K154" s="422">
        <v>0.126645487</v>
      </c>
      <c r="L154" s="422">
        <v>5.8132965000000002E-2</v>
      </c>
      <c r="M154" s="422">
        <v>-19.200031679999999</v>
      </c>
      <c r="N154" s="422">
        <v>7.503165E-3</v>
      </c>
      <c r="O154" s="422">
        <v>30</v>
      </c>
      <c r="P154" s="423">
        <v>-5.77E-5</v>
      </c>
      <c r="Q154" s="422">
        <v>4.5842540000000003E-3</v>
      </c>
      <c r="R154" s="422">
        <v>0.72221680700000002</v>
      </c>
      <c r="S154" s="422">
        <v>-1.2709715E-2</v>
      </c>
      <c r="T154" s="422">
        <v>5.8127739999999997E-3</v>
      </c>
      <c r="U154" s="422">
        <v>29</v>
      </c>
      <c r="V154" s="422">
        <v>2.2671799999999999E-4</v>
      </c>
      <c r="W154" s="422">
        <v>0.121981767</v>
      </c>
      <c r="X154" s="422">
        <v>6.3303555999999997E-2</v>
      </c>
      <c r="Y154" s="422">
        <v>-11.87546236</v>
      </c>
      <c r="Z154" s="422">
        <v>7.5591679999999998E-3</v>
      </c>
      <c r="AA154" s="422">
        <v>30</v>
      </c>
      <c r="AB154" s="423">
        <v>-5.7500000000000002E-5</v>
      </c>
      <c r="AC154" s="422">
        <v>4.4897569999999996E-3</v>
      </c>
      <c r="AD154" s="422">
        <v>0.72498359499999998</v>
      </c>
      <c r="AE154" s="422">
        <v>-12.348460149999999</v>
      </c>
      <c r="AF154" s="422">
        <v>4.8046450999999997E-2</v>
      </c>
      <c r="AG154" s="422">
        <v>30</v>
      </c>
      <c r="AH154" s="422">
        <v>-5.96044E-4</v>
      </c>
      <c r="AI154" s="422">
        <v>1.1927135E-2</v>
      </c>
      <c r="AJ154" s="422">
        <v>0.56564235299999999</v>
      </c>
      <c r="AK154" s="422">
        <v>-0.66870079800000004</v>
      </c>
      <c r="AL154" s="422">
        <v>5.3647221000000002E-2</v>
      </c>
      <c r="AM154" s="422">
        <v>30</v>
      </c>
      <c r="AN154" s="422">
        <v>-7.9699800000000004E-4</v>
      </c>
      <c r="AO154" s="422">
        <v>1.7104952E-2</v>
      </c>
      <c r="AP154" s="422">
        <v>0.49090302800000002</v>
      </c>
      <c r="AQ154" s="422">
        <v>-23.3709092</v>
      </c>
      <c r="AR154" s="422">
        <v>0.18571294499999999</v>
      </c>
      <c r="AS154" s="422">
        <v>30</v>
      </c>
      <c r="AT154" s="422">
        <v>3.5825879999999998E-3</v>
      </c>
      <c r="AU154" s="422">
        <v>2.884105E-2</v>
      </c>
      <c r="AV154" s="422">
        <v>0.36961466199999998</v>
      </c>
      <c r="AW154" s="422">
        <v>0.24477243500000001</v>
      </c>
      <c r="AX154" s="422">
        <v>0.188975638</v>
      </c>
      <c r="AY154" s="422">
        <v>30</v>
      </c>
      <c r="AZ154" s="422">
        <v>3.7857699999999999E-3</v>
      </c>
      <c r="BA154" s="422">
        <v>3.1102734999999999E-2</v>
      </c>
      <c r="BB154" s="422">
        <v>0.351206201</v>
      </c>
      <c r="BC154" s="422">
        <v>-29.079297440000001</v>
      </c>
      <c r="BD154" s="422">
        <v>6.4538742979999997</v>
      </c>
      <c r="BE154" s="422">
        <v>30</v>
      </c>
      <c r="BF154" s="422">
        <v>0.11840577100000001</v>
      </c>
      <c r="BG154" s="422">
        <v>2.6085937E-2</v>
      </c>
      <c r="BH154" s="422">
        <v>0.39384597500000001</v>
      </c>
      <c r="BI154" s="422">
        <v>-6.006599756</v>
      </c>
      <c r="BJ154" s="422">
        <v>6.6035441080000004</v>
      </c>
      <c r="BK154" s="422">
        <v>30</v>
      </c>
      <c r="BL154" s="422">
        <v>0.12107834000000001</v>
      </c>
      <c r="BM154" s="422">
        <v>2.6054362000000001E-2</v>
      </c>
      <c r="BN154" s="422">
        <v>0.39413620100000002</v>
      </c>
      <c r="BO154" s="422">
        <v>1.1813717E-2</v>
      </c>
      <c r="BP154" s="423">
        <v>3.8799999999999998E-7</v>
      </c>
      <c r="BQ154" s="422">
        <v>1.1813857000000001E-2</v>
      </c>
      <c r="BR154" s="423">
        <v>4.0699999999999998E-7</v>
      </c>
      <c r="BS154" s="422">
        <v>1.1848946000000001E-2</v>
      </c>
      <c r="BT154" s="422">
        <v>4.1918320000000004E-3</v>
      </c>
      <c r="BU154" s="423">
        <v>1.2100000000000001E-7</v>
      </c>
      <c r="BV154" s="422">
        <v>4.2422110000000001E-3</v>
      </c>
      <c r="BW154" s="423">
        <v>1.14E-7</v>
      </c>
      <c r="BX154" s="422">
        <v>4.1053510000000001E-3</v>
      </c>
      <c r="BY154" s="423">
        <v>4.74E-5</v>
      </c>
      <c r="BZ154" s="423">
        <v>2.3199999999999998E-9</v>
      </c>
      <c r="CA154" s="423">
        <v>4.8000000000000001E-5</v>
      </c>
      <c r="CB154" s="423">
        <v>2.23E-9</v>
      </c>
      <c r="CC154" s="423">
        <v>4.6900000000000002E-5</v>
      </c>
      <c r="CD154" s="423">
        <v>4.5199999999999999E-6</v>
      </c>
      <c r="CE154" s="423">
        <v>5.3700000000000003E-9</v>
      </c>
      <c r="CF154" s="423">
        <v>4.6199999999999998E-6</v>
      </c>
      <c r="CG154" s="423">
        <v>5.3199999999999998E-9</v>
      </c>
      <c r="CH154" s="423">
        <v>4.2100000000000003E-6</v>
      </c>
      <c r="CI154" s="423">
        <v>7.7900000000000003E-8</v>
      </c>
      <c r="CJ154" s="423">
        <v>2.0700000000000001E-9</v>
      </c>
      <c r="CK154" s="423">
        <v>8.0299999999999998E-8</v>
      </c>
      <c r="CL154" s="423">
        <v>2.0099999999999999E-9</v>
      </c>
      <c r="CM154" s="423">
        <v>4.6199999999999997E-8</v>
      </c>
      <c r="CN154" s="424">
        <v>45203.27847222222</v>
      </c>
      <c r="CO154" s="422">
        <v>1696426880</v>
      </c>
      <c r="CP154" s="422" t="s">
        <v>417</v>
      </c>
      <c r="CQ154" s="422" t="s">
        <v>416</v>
      </c>
      <c r="CR154" s="422" t="s">
        <v>415</v>
      </c>
      <c r="CS154" s="422">
        <v>1478</v>
      </c>
      <c r="CT154" s="422">
        <v>51.6661</v>
      </c>
      <c r="CU154" s="422">
        <v>2.2899999999999999E-3</v>
      </c>
      <c r="CV154" s="422">
        <v>2</v>
      </c>
      <c r="CW154" s="423">
        <v>2.8200000000000001E-8</v>
      </c>
      <c r="CX154" s="423">
        <v>1.05E-7</v>
      </c>
      <c r="CY154" s="422">
        <v>3</v>
      </c>
      <c r="CZ154" s="422">
        <v>30</v>
      </c>
      <c r="DA154" s="423">
        <v>2.65E-7</v>
      </c>
      <c r="DB154" s="423">
        <v>9.53E-8</v>
      </c>
      <c r="DC154" s="422">
        <v>0.26485649999999999</v>
      </c>
      <c r="DD154" s="423">
        <v>9.1100000000000002E-8</v>
      </c>
      <c r="DE154" s="423">
        <v>7.8600000000000002E-8</v>
      </c>
      <c r="DF154" s="423">
        <v>6.7799999999999998E-8</v>
      </c>
      <c r="DG154" s="423">
        <v>4.3200000000000002E-12</v>
      </c>
      <c r="DH154" s="423">
        <v>3.7299999999999997E-12</v>
      </c>
      <c r="DI154" s="423">
        <v>3.2099999999999999E-12</v>
      </c>
      <c r="DJ154" s="422">
        <v>-0.85193713900000001</v>
      </c>
      <c r="DK154" s="422">
        <v>-0.43274226199999999</v>
      </c>
      <c r="DL154" s="422">
        <v>-6.4018926000000004E-2</v>
      </c>
      <c r="DM154" s="423">
        <v>-9.1299999999999995E-10</v>
      </c>
      <c r="DN154" s="423">
        <v>-8.9000000000000003E-10</v>
      </c>
      <c r="DO154" s="422">
        <v>3.4956766E-2</v>
      </c>
      <c r="DP154" s="422">
        <v>-10.13259981</v>
      </c>
      <c r="DQ154" s="422">
        <v>-18.540781819999999</v>
      </c>
      <c r="DR154" s="422">
        <v>0.18768922299999999</v>
      </c>
      <c r="DS154" s="422">
        <v>0.26780600199999999</v>
      </c>
    </row>
    <row r="155" spans="1:124" x14ac:dyDescent="0.2">
      <c r="A155" s="422">
        <v>1993</v>
      </c>
      <c r="B155" s="422" t="s">
        <v>424</v>
      </c>
      <c r="C155" s="422" t="s">
        <v>424</v>
      </c>
      <c r="D155" s="422" t="s">
        <v>424</v>
      </c>
      <c r="E155" s="422">
        <v>1</v>
      </c>
      <c r="F155" s="422" t="s">
        <v>418</v>
      </c>
      <c r="G155" s="422">
        <v>-9.7637391220000005</v>
      </c>
      <c r="H155" s="422">
        <v>5.8798019999999999E-3</v>
      </c>
      <c r="I155" s="422">
        <v>30</v>
      </c>
      <c r="J155" s="422">
        <v>3.3763800000000002E-4</v>
      </c>
      <c r="K155" s="422">
        <v>0.25555123699999999</v>
      </c>
      <c r="L155" s="422">
        <v>4.3766960000000002E-3</v>
      </c>
      <c r="M155" s="422">
        <v>-19.079020610000001</v>
      </c>
      <c r="N155" s="422">
        <v>1.5268333E-2</v>
      </c>
      <c r="O155" s="422">
        <v>30</v>
      </c>
      <c r="P155" s="422">
        <v>8.8043099999999999E-4</v>
      </c>
      <c r="Q155" s="422">
        <v>0.25769668400000001</v>
      </c>
      <c r="R155" s="422">
        <v>4.1891009999999998E-3</v>
      </c>
      <c r="S155" s="422">
        <v>-1.12928E-4</v>
      </c>
      <c r="T155" s="422">
        <v>5.9092060000000002E-3</v>
      </c>
      <c r="U155" s="422">
        <v>30</v>
      </c>
      <c r="V155" s="422">
        <v>3.4969800000000001E-4</v>
      </c>
      <c r="W155" s="422">
        <v>0.27141270699999998</v>
      </c>
      <c r="X155" s="422">
        <v>3.158756E-3</v>
      </c>
      <c r="Y155" s="422">
        <v>-11.753651550000001</v>
      </c>
      <c r="Z155" s="422">
        <v>1.5375065E-2</v>
      </c>
      <c r="AA155" s="422">
        <v>30</v>
      </c>
      <c r="AB155" s="422">
        <v>8.86836E-4</v>
      </c>
      <c r="AC155" s="422">
        <v>0.257842354</v>
      </c>
      <c r="AD155" s="422">
        <v>4.1766449999999997E-3</v>
      </c>
      <c r="AE155" s="422">
        <v>-12.187436760000001</v>
      </c>
      <c r="AF155" s="422">
        <v>5.7326703999999999E-2</v>
      </c>
      <c r="AG155" s="422">
        <v>28</v>
      </c>
      <c r="AH155" s="422">
        <v>1.138086E-3</v>
      </c>
      <c r="AI155" s="422">
        <v>2.8295839999999999E-2</v>
      </c>
      <c r="AJ155" s="422">
        <v>0.39219561400000003</v>
      </c>
      <c r="AK155" s="422">
        <v>-0.61500671500000004</v>
      </c>
      <c r="AL155" s="422">
        <v>9.9671095000000001E-2</v>
      </c>
      <c r="AM155" s="422">
        <v>30</v>
      </c>
      <c r="AN155" s="422">
        <v>3.5727010000000002E-3</v>
      </c>
      <c r="AO155" s="422">
        <v>9.9576444E-2</v>
      </c>
      <c r="AP155" s="422">
        <v>8.9385270000000003E-2</v>
      </c>
      <c r="AQ155" s="422">
        <v>-23.14760068</v>
      </c>
      <c r="AR155" s="422">
        <v>0.27213194699999999</v>
      </c>
      <c r="AS155" s="422">
        <v>30</v>
      </c>
      <c r="AT155" s="422">
        <v>1.4984290000000001E-2</v>
      </c>
      <c r="AU155" s="422">
        <v>0.23497137500000001</v>
      </c>
      <c r="AV155" s="422">
        <v>6.6326229999999998E-3</v>
      </c>
      <c r="AW155" s="422">
        <v>0.22685775</v>
      </c>
      <c r="AX155" s="422">
        <v>0.26809318700000001</v>
      </c>
      <c r="AY155" s="422">
        <v>30</v>
      </c>
      <c r="AZ155" s="422">
        <v>1.3547402E-2</v>
      </c>
      <c r="BA155" s="422">
        <v>0.19789836499999999</v>
      </c>
      <c r="BB155" s="422">
        <v>1.3770546999999999E-2</v>
      </c>
      <c r="BC155" s="422">
        <v>-28.82035041</v>
      </c>
      <c r="BD155" s="422">
        <v>6.12587379</v>
      </c>
      <c r="BE155" s="422">
        <v>30</v>
      </c>
      <c r="BF155" s="422">
        <v>-3.1096795E-2</v>
      </c>
      <c r="BG155" s="422">
        <v>1.9970859999999999E-3</v>
      </c>
      <c r="BH155" s="422">
        <v>0.81460711600000002</v>
      </c>
      <c r="BI155" s="422">
        <v>-5.9946564489999998</v>
      </c>
      <c r="BJ155" s="422">
        <v>6.2794692169999999</v>
      </c>
      <c r="BK155" s="422">
        <v>30</v>
      </c>
      <c r="BL155" s="422">
        <v>-3.3937243999999998E-2</v>
      </c>
      <c r="BM155" s="422">
        <v>2.263648E-3</v>
      </c>
      <c r="BN155" s="422">
        <v>0.80284830500000004</v>
      </c>
      <c r="BO155" s="422">
        <v>1.1813304E-2</v>
      </c>
      <c r="BP155" s="423">
        <v>2.7700000000000001E-7</v>
      </c>
      <c r="BQ155" s="422">
        <v>1.1813305E-2</v>
      </c>
      <c r="BR155" s="423">
        <v>3.1399999999999998E-7</v>
      </c>
      <c r="BS155" s="422">
        <v>1.1849085000000001E-2</v>
      </c>
      <c r="BT155" s="422">
        <v>4.1923259999999997E-3</v>
      </c>
      <c r="BU155" s="423">
        <v>5.4300000000000003E-8</v>
      </c>
      <c r="BV155" s="422">
        <v>4.2421869999999997E-3</v>
      </c>
      <c r="BW155" s="423">
        <v>4.51E-8</v>
      </c>
      <c r="BX155" s="422">
        <v>4.1058580000000004E-3</v>
      </c>
      <c r="BY155" s="423">
        <v>4.74E-5</v>
      </c>
      <c r="BZ155" s="423">
        <v>3.1300000000000002E-9</v>
      </c>
      <c r="CA155" s="423">
        <v>4.8000000000000001E-5</v>
      </c>
      <c r="CB155" s="423">
        <v>3.7499999999999997E-9</v>
      </c>
      <c r="CC155" s="423">
        <v>4.6900000000000002E-5</v>
      </c>
      <c r="CD155" s="423">
        <v>4.5299999999999998E-6</v>
      </c>
      <c r="CE155" s="423">
        <v>5.6699999999999997E-9</v>
      </c>
      <c r="CF155" s="423">
        <v>4.6299999999999997E-6</v>
      </c>
      <c r="CG155" s="423">
        <v>5.1300000000000003E-9</v>
      </c>
      <c r="CH155" s="423">
        <v>4.2200000000000003E-6</v>
      </c>
      <c r="CI155" s="423">
        <v>8.0400000000000005E-8</v>
      </c>
      <c r="CJ155" s="423">
        <v>2.11E-9</v>
      </c>
      <c r="CK155" s="423">
        <v>8.2700000000000006E-8</v>
      </c>
      <c r="CL155" s="423">
        <v>2.2200000000000002E-9</v>
      </c>
      <c r="CM155" s="423">
        <v>4.6199999999999997E-8</v>
      </c>
      <c r="CN155" s="424">
        <v>45203.643750000003</v>
      </c>
      <c r="CO155" s="422">
        <v>1696458431</v>
      </c>
      <c r="CP155" s="422" t="s">
        <v>420</v>
      </c>
      <c r="CQ155" s="422" t="s">
        <v>416</v>
      </c>
      <c r="CR155" s="422" t="s">
        <v>415</v>
      </c>
      <c r="CS155" s="422">
        <v>1348</v>
      </c>
      <c r="CT155" s="422">
        <v>47.698819999999998</v>
      </c>
      <c r="CU155" s="422">
        <v>2.4499999999999999E-3</v>
      </c>
      <c r="CV155" s="422">
        <v>2</v>
      </c>
      <c r="CW155" s="423">
        <v>2.7999999999999999E-8</v>
      </c>
      <c r="CX155" s="423">
        <v>1.05E-7</v>
      </c>
      <c r="CY155" s="422">
        <v>3</v>
      </c>
      <c r="CZ155" s="422">
        <v>30</v>
      </c>
      <c r="DA155" s="423">
        <v>2.65E-7</v>
      </c>
      <c r="DB155" s="423">
        <v>8.4699999999999997E-8</v>
      </c>
      <c r="DC155" s="422">
        <v>0.21887480000000001</v>
      </c>
      <c r="DD155" s="423">
        <v>8.0700000000000001E-8</v>
      </c>
      <c r="DE155" s="423">
        <v>7.0399999999999995E-8</v>
      </c>
      <c r="DF155" s="423">
        <v>6.1399999999999994E-8</v>
      </c>
      <c r="DG155" s="423">
        <v>3.8299999999999996E-12</v>
      </c>
      <c r="DH155" s="423">
        <v>3.3399999999999999E-12</v>
      </c>
      <c r="DI155" s="423">
        <v>2.9099999999999999E-12</v>
      </c>
      <c r="DJ155" s="422">
        <v>-1.168440556</v>
      </c>
      <c r="DK155" s="422">
        <v>-0.28857453599999999</v>
      </c>
      <c r="DL155" s="422">
        <v>2.6735373999999999E-2</v>
      </c>
      <c r="DM155" s="423">
        <v>-7.48E-10</v>
      </c>
      <c r="DN155" s="423">
        <v>-7.5399999999999998E-10</v>
      </c>
      <c r="DO155" s="422">
        <v>3.5384881E-2</v>
      </c>
      <c r="DP155" s="422">
        <v>-10.123786490000001</v>
      </c>
      <c r="DQ155" s="422">
        <v>-18.42014528</v>
      </c>
      <c r="DR155" s="422">
        <v>0.243709545</v>
      </c>
      <c r="DS155" s="422">
        <v>0.243721251</v>
      </c>
    </row>
    <row r="156" spans="1:124" x14ac:dyDescent="0.2">
      <c r="A156" s="422">
        <v>2023</v>
      </c>
      <c r="B156" s="422" t="s">
        <v>424</v>
      </c>
      <c r="C156" s="422" t="s">
        <v>424</v>
      </c>
      <c r="D156" s="422" t="s">
        <v>424</v>
      </c>
      <c r="E156" s="422">
        <v>1</v>
      </c>
      <c r="F156" s="422" t="s">
        <v>418</v>
      </c>
      <c r="G156" s="422">
        <v>-9.8195049779999994</v>
      </c>
      <c r="H156" s="422">
        <v>4.5287319999999997E-3</v>
      </c>
      <c r="I156" s="422">
        <v>30</v>
      </c>
      <c r="J156" s="423">
        <v>7.5099999999999996E-5</v>
      </c>
      <c r="K156" s="422">
        <v>2.1304969999999999E-2</v>
      </c>
      <c r="L156" s="422">
        <v>0.44151759299999999</v>
      </c>
      <c r="M156" s="422">
        <v>-19.053548030000002</v>
      </c>
      <c r="N156" s="422">
        <v>6.111834E-3</v>
      </c>
      <c r="O156" s="422">
        <v>30</v>
      </c>
      <c r="P156" s="423">
        <v>-8.8200000000000003E-6</v>
      </c>
      <c r="Q156" s="422">
        <v>1.6154400000000001E-4</v>
      </c>
      <c r="R156" s="422">
        <v>0.94685244199999996</v>
      </c>
      <c r="S156" s="422">
        <v>-5.1829294999999997E-2</v>
      </c>
      <c r="T156" s="422">
        <v>4.3064269999999998E-3</v>
      </c>
      <c r="U156" s="422">
        <v>30</v>
      </c>
      <c r="V156" s="423">
        <v>7.0500000000000006E-5</v>
      </c>
      <c r="W156" s="422">
        <v>2.0791265E-2</v>
      </c>
      <c r="X156" s="422">
        <v>0.44713620599999998</v>
      </c>
      <c r="Y156" s="422">
        <v>-11.728130889999999</v>
      </c>
      <c r="Z156" s="422">
        <v>6.1526289999999997E-3</v>
      </c>
      <c r="AA156" s="422">
        <v>30</v>
      </c>
      <c r="AB156" s="423">
        <v>-8.7199999999999995E-6</v>
      </c>
      <c r="AC156" s="422">
        <v>1.55811E-4</v>
      </c>
      <c r="AD156" s="422">
        <v>0.947802696</v>
      </c>
      <c r="AE156" s="422">
        <v>-12.2217143</v>
      </c>
      <c r="AF156" s="422">
        <v>6.0065778E-2</v>
      </c>
      <c r="AG156" s="422">
        <v>30</v>
      </c>
      <c r="AH156" s="422">
        <v>6.02193E-4</v>
      </c>
      <c r="AI156" s="422">
        <v>7.7896659999999998E-3</v>
      </c>
      <c r="AJ156" s="422">
        <v>0.64280484500000001</v>
      </c>
      <c r="AK156" s="422">
        <v>-0.64572581600000001</v>
      </c>
      <c r="AL156" s="422">
        <v>5.7718008000000001E-2</v>
      </c>
      <c r="AM156" s="422">
        <v>30</v>
      </c>
      <c r="AN156" s="422">
        <v>5.4520700000000003E-4</v>
      </c>
      <c r="AO156" s="422">
        <v>6.9151630000000002E-3</v>
      </c>
      <c r="AP156" s="422">
        <v>0.66220093099999999</v>
      </c>
      <c r="AQ156" s="422">
        <v>-23.224837669999999</v>
      </c>
      <c r="AR156" s="422">
        <v>0.21730324500000001</v>
      </c>
      <c r="AS156" s="422">
        <v>30</v>
      </c>
      <c r="AT156" s="422">
        <v>8.4963209999999994E-3</v>
      </c>
      <c r="AU156" s="422">
        <v>0.118476209</v>
      </c>
      <c r="AV156" s="422">
        <v>6.2526261E-2</v>
      </c>
      <c r="AW156" s="422">
        <v>9.6120799000000007E-2</v>
      </c>
      <c r="AX156" s="422">
        <v>0.222944537</v>
      </c>
      <c r="AY156" s="422">
        <v>30</v>
      </c>
      <c r="AZ156" s="422">
        <v>8.7169020000000003E-3</v>
      </c>
      <c r="BA156" s="422">
        <v>0.118476529</v>
      </c>
      <c r="BB156" s="422">
        <v>6.2525883000000004E-2</v>
      </c>
      <c r="BC156" s="422">
        <v>-30.08640875</v>
      </c>
      <c r="BD156" s="422">
        <v>5.0999528549999997</v>
      </c>
      <c r="BE156" s="422">
        <v>30</v>
      </c>
      <c r="BF156" s="422">
        <v>0.296121421</v>
      </c>
      <c r="BG156" s="422">
        <v>0.26128172100000002</v>
      </c>
      <c r="BH156" s="422">
        <v>3.8925909999999999E-3</v>
      </c>
      <c r="BI156" s="422">
        <v>-7.2861731750000001</v>
      </c>
      <c r="BJ156" s="422">
        <v>5.2212496049999997</v>
      </c>
      <c r="BK156" s="422">
        <v>30</v>
      </c>
      <c r="BL156" s="422">
        <v>0.30302148699999998</v>
      </c>
      <c r="BM156" s="422">
        <v>0.26103554000000001</v>
      </c>
      <c r="BN156" s="422">
        <v>3.912296E-3</v>
      </c>
      <c r="BO156" s="422">
        <v>1.1813149E-2</v>
      </c>
      <c r="BP156" s="423">
        <v>4.03E-7</v>
      </c>
      <c r="BQ156" s="422">
        <v>1.1813761000000001E-2</v>
      </c>
      <c r="BR156" s="423">
        <v>4.0999999999999999E-7</v>
      </c>
      <c r="BS156" s="422">
        <v>1.1848473E-2</v>
      </c>
      <c r="BT156" s="422">
        <v>4.1926039999999999E-3</v>
      </c>
      <c r="BU156" s="423">
        <v>1.18E-7</v>
      </c>
      <c r="BV156" s="422">
        <v>4.2423590000000002E-3</v>
      </c>
      <c r="BW156" s="423">
        <v>1.17E-7</v>
      </c>
      <c r="BX156" s="422">
        <v>4.1059640000000001E-3</v>
      </c>
      <c r="BY156" s="423">
        <v>4.74E-5</v>
      </c>
      <c r="BZ156" s="423">
        <v>2.7099999999999999E-9</v>
      </c>
      <c r="CA156" s="423">
        <v>4.8000000000000001E-5</v>
      </c>
      <c r="CB156" s="423">
        <v>2.1499999999999998E-9</v>
      </c>
      <c r="CC156" s="423">
        <v>4.6900000000000002E-5</v>
      </c>
      <c r="CD156" s="423">
        <v>4.5199999999999999E-6</v>
      </c>
      <c r="CE156" s="423">
        <v>5.3100000000000001E-9</v>
      </c>
      <c r="CF156" s="423">
        <v>4.6299999999999997E-6</v>
      </c>
      <c r="CG156" s="423">
        <v>5.0499999999999997E-9</v>
      </c>
      <c r="CH156" s="423">
        <v>4.2100000000000003E-6</v>
      </c>
      <c r="CI156" s="423">
        <v>7.7499999999999999E-8</v>
      </c>
      <c r="CJ156" s="423">
        <v>2.0299999999999998E-9</v>
      </c>
      <c r="CK156" s="423">
        <v>7.9899999999999994E-8</v>
      </c>
      <c r="CL156" s="423">
        <v>1.86E-9</v>
      </c>
      <c r="CM156" s="423">
        <v>4.6100000000000003E-8</v>
      </c>
      <c r="CN156" s="424">
        <v>45205.071527777778</v>
      </c>
      <c r="CO156" s="422">
        <v>1696581810</v>
      </c>
      <c r="CP156" s="422" t="s">
        <v>420</v>
      </c>
      <c r="CQ156" s="422" t="s">
        <v>416</v>
      </c>
      <c r="CR156" s="422" t="s">
        <v>415</v>
      </c>
      <c r="CS156" s="422">
        <v>1418</v>
      </c>
      <c r="CT156" s="422">
        <v>52.795250000000003</v>
      </c>
      <c r="CU156" s="422">
        <v>2.5000000000000001E-3</v>
      </c>
      <c r="CV156" s="422">
        <v>2</v>
      </c>
      <c r="CW156" s="423">
        <v>2.6700000000000001E-8</v>
      </c>
      <c r="CX156" s="423">
        <v>1.04E-7</v>
      </c>
      <c r="CY156" s="422">
        <v>3</v>
      </c>
      <c r="CZ156" s="422">
        <v>30</v>
      </c>
      <c r="DA156" s="423">
        <v>2.65E-7</v>
      </c>
      <c r="DB156" s="423">
        <v>9.6200000000000001E-8</v>
      </c>
      <c r="DC156" s="422">
        <v>-0.18419240000000001</v>
      </c>
      <c r="DD156" s="423">
        <v>9.1800000000000001E-8</v>
      </c>
      <c r="DE156" s="423">
        <v>7.9399999999999996E-8</v>
      </c>
      <c r="DF156" s="423">
        <v>6.8400000000000004E-8</v>
      </c>
      <c r="DG156" s="423">
        <v>4.36E-12</v>
      </c>
      <c r="DH156" s="423">
        <v>3.7700000000000003E-12</v>
      </c>
      <c r="DI156" s="423">
        <v>3.2500000000000001E-12</v>
      </c>
      <c r="DJ156" s="422">
        <v>-0.73080543399999998</v>
      </c>
      <c r="DK156" s="422">
        <v>-0.47066287299999998</v>
      </c>
      <c r="DL156" s="422">
        <v>-0.26775219300000003</v>
      </c>
      <c r="DM156" s="423">
        <v>-8.97E-10</v>
      </c>
      <c r="DN156" s="423">
        <v>-8.8500000000000005E-10</v>
      </c>
      <c r="DO156" s="422">
        <v>3.7232192999999997E-2</v>
      </c>
      <c r="DP156" s="422">
        <v>-10.179715549999999</v>
      </c>
      <c r="DQ156" s="422">
        <v>-18.394751530000001</v>
      </c>
      <c r="DR156" s="422">
        <v>0.21173867499999999</v>
      </c>
      <c r="DS156" s="422">
        <v>1.7726395999999998E-2</v>
      </c>
    </row>
    <row r="157" spans="1:124" x14ac:dyDescent="0.2">
      <c r="A157" s="422">
        <v>1988</v>
      </c>
      <c r="B157" s="422" t="s">
        <v>423</v>
      </c>
      <c r="C157" s="422" t="s">
        <v>423</v>
      </c>
      <c r="D157" s="422" t="s">
        <v>423</v>
      </c>
      <c r="E157" s="422">
        <v>1</v>
      </c>
      <c r="F157" s="422" t="s">
        <v>418</v>
      </c>
      <c r="G157" s="422">
        <v>2.073263367</v>
      </c>
      <c r="H157" s="422">
        <v>4.0586299999999997E-3</v>
      </c>
      <c r="I157" s="422">
        <v>30</v>
      </c>
      <c r="J157" s="423">
        <v>-6.2199999999999994E-5</v>
      </c>
      <c r="K157" s="422">
        <v>1.8225676E-2</v>
      </c>
      <c r="L157" s="422">
        <v>0.47690719300000001</v>
      </c>
      <c r="M157" s="422">
        <v>-2.280026823</v>
      </c>
      <c r="N157" s="422">
        <v>1.0265643E-2</v>
      </c>
      <c r="O157" s="422">
        <v>30</v>
      </c>
      <c r="P157" s="422">
        <v>-9.9221300000000004E-4</v>
      </c>
      <c r="Q157" s="422">
        <v>0.72400137600000003</v>
      </c>
      <c r="R157" s="423">
        <v>2.5800000000000002E-9</v>
      </c>
      <c r="S157" s="422">
        <v>11.760005809999999</v>
      </c>
      <c r="T157" s="422">
        <v>3.9475450000000002E-3</v>
      </c>
      <c r="U157" s="422">
        <v>30</v>
      </c>
      <c r="V157" s="423">
        <v>-9.3499999999999996E-5</v>
      </c>
      <c r="W157" s="422">
        <v>4.3500096000000002E-2</v>
      </c>
      <c r="X157" s="422">
        <v>0.26870703200000001</v>
      </c>
      <c r="Y157" s="422">
        <v>5.1790031570000004</v>
      </c>
      <c r="Z157" s="422">
        <v>1.0334584000000001E-2</v>
      </c>
      <c r="AA157" s="422">
        <v>30</v>
      </c>
      <c r="AB157" s="422">
        <v>-9.9877100000000008E-4</v>
      </c>
      <c r="AC157" s="422">
        <v>0.72384783500000005</v>
      </c>
      <c r="AD157" s="423">
        <v>2.6000000000000001E-9</v>
      </c>
      <c r="AE157" s="422">
        <v>16.974415109999999</v>
      </c>
      <c r="AF157" s="422">
        <v>5.9035912000000003E-2</v>
      </c>
      <c r="AG157" s="422">
        <v>30</v>
      </c>
      <c r="AH157" s="422">
        <v>4.7075300000000002E-4</v>
      </c>
      <c r="AI157" s="422">
        <v>4.9278189999999999E-3</v>
      </c>
      <c r="AJ157" s="422">
        <v>0.71241828900000004</v>
      </c>
      <c r="AK157" s="422">
        <v>-0.309593006</v>
      </c>
      <c r="AL157" s="422">
        <v>5.9116780000000001E-2</v>
      </c>
      <c r="AM157" s="422">
        <v>30</v>
      </c>
      <c r="AN157" s="422">
        <v>1.534704E-3</v>
      </c>
      <c r="AO157" s="422">
        <v>5.2231106999999999E-2</v>
      </c>
      <c r="AP157" s="422">
        <v>0.22446582900000001</v>
      </c>
      <c r="AQ157" s="422">
        <v>10.11517218</v>
      </c>
      <c r="AR157" s="422">
        <v>0.226021429</v>
      </c>
      <c r="AS157" s="422">
        <v>30</v>
      </c>
      <c r="AT157" s="422">
        <v>6.0045990000000002E-3</v>
      </c>
      <c r="AU157" s="422">
        <v>5.4697880999999997E-2</v>
      </c>
      <c r="AV157" s="422">
        <v>0.213537218</v>
      </c>
      <c r="AW157" s="422">
        <v>-0.26677717299999998</v>
      </c>
      <c r="AX157" s="422">
        <v>0.227769307</v>
      </c>
      <c r="AY157" s="422">
        <v>30</v>
      </c>
      <c r="AZ157" s="422">
        <v>7.9295330000000008E-3</v>
      </c>
      <c r="BA157" s="422">
        <v>9.3930467000000004E-2</v>
      </c>
      <c r="BB157" s="422">
        <v>9.9506713999999996E-2</v>
      </c>
      <c r="BC157" s="422">
        <v>2.843586921</v>
      </c>
      <c r="BD157" s="422">
        <v>6.4302650699999999</v>
      </c>
      <c r="BE157" s="422">
        <v>30</v>
      </c>
      <c r="BF157" s="422">
        <v>-0.19708176799999999</v>
      </c>
      <c r="BG157" s="422">
        <v>7.2800917000000007E-2</v>
      </c>
      <c r="BH157" s="422">
        <v>0.149316163</v>
      </c>
      <c r="BI157" s="422">
        <v>-19.579527169999999</v>
      </c>
      <c r="BJ157" s="422">
        <v>6.2813939999999997</v>
      </c>
      <c r="BK157" s="422">
        <v>30</v>
      </c>
      <c r="BL157" s="422">
        <v>-0.19066096499999999</v>
      </c>
      <c r="BM157" s="422">
        <v>7.1402464999999998E-2</v>
      </c>
      <c r="BN157" s="422">
        <v>0.15343534</v>
      </c>
      <c r="BO157" s="422">
        <v>1.1952547000000001E-2</v>
      </c>
      <c r="BP157" s="423">
        <v>2.17E-7</v>
      </c>
      <c r="BQ157" s="422">
        <v>1.1813618999999999E-2</v>
      </c>
      <c r="BR157" s="423">
        <v>1.97E-7</v>
      </c>
      <c r="BS157" s="422">
        <v>1.1988432E-2</v>
      </c>
      <c r="BT157" s="422">
        <v>4.264304E-3</v>
      </c>
      <c r="BU157" s="423">
        <v>6.0500000000000006E-8</v>
      </c>
      <c r="BV157" s="422">
        <v>4.242333E-3</v>
      </c>
      <c r="BW157" s="423">
        <v>3.5299999999999998E-8</v>
      </c>
      <c r="BX157" s="422">
        <v>4.1762079999999998E-3</v>
      </c>
      <c r="BY157" s="423">
        <v>4.88E-5</v>
      </c>
      <c r="BZ157" s="423">
        <v>2.7400000000000001E-9</v>
      </c>
      <c r="CA157" s="423">
        <v>4.8000000000000001E-5</v>
      </c>
      <c r="CB157" s="423">
        <v>2.1400000000000001E-9</v>
      </c>
      <c r="CC157" s="423">
        <v>4.8300000000000002E-5</v>
      </c>
      <c r="CD157" s="423">
        <v>4.6800000000000001E-6</v>
      </c>
      <c r="CE157" s="423">
        <v>5.8999999999999999E-9</v>
      </c>
      <c r="CF157" s="423">
        <v>4.6299999999999997E-6</v>
      </c>
      <c r="CG157" s="423">
        <v>5.5700000000000004E-9</v>
      </c>
      <c r="CH157" s="423">
        <v>4.3599999999999998E-6</v>
      </c>
      <c r="CI157" s="423">
        <v>8.2199999999999995E-8</v>
      </c>
      <c r="CJ157" s="423">
        <v>2.0099999999999999E-9</v>
      </c>
      <c r="CK157" s="423">
        <v>8.1899999999999999E-8</v>
      </c>
      <c r="CL157" s="423">
        <v>2.1299999999999999E-9</v>
      </c>
      <c r="CM157" s="423">
        <v>4.7699999999999997E-8</v>
      </c>
      <c r="CN157" s="424">
        <v>45203.320138888892</v>
      </c>
      <c r="CO157" s="422">
        <v>1696430497</v>
      </c>
      <c r="CP157" s="422" t="s">
        <v>417</v>
      </c>
      <c r="CQ157" s="422" t="s">
        <v>416</v>
      </c>
      <c r="CR157" s="422" t="s">
        <v>415</v>
      </c>
      <c r="CS157" s="422">
        <v>1407</v>
      </c>
      <c r="CT157" s="422">
        <v>48.614350000000002</v>
      </c>
      <c r="CU157" s="422">
        <v>2.2399999999999998E-3</v>
      </c>
      <c r="CV157" s="422">
        <v>2</v>
      </c>
      <c r="CW157" s="423">
        <v>2.7800000000000001E-8</v>
      </c>
      <c r="CX157" s="423">
        <v>1.05E-7</v>
      </c>
      <c r="CY157" s="422">
        <v>3</v>
      </c>
      <c r="CZ157" s="422">
        <v>30</v>
      </c>
      <c r="DA157" s="423">
        <v>2.65E-7</v>
      </c>
      <c r="DB157" s="423">
        <v>8.7999999999999994E-8</v>
      </c>
      <c r="DC157" s="422">
        <v>0.1527444</v>
      </c>
      <c r="DD157" s="423">
        <v>8.3900000000000004E-8</v>
      </c>
      <c r="DE157" s="423">
        <v>7.3000000000000005E-8</v>
      </c>
      <c r="DF157" s="423">
        <v>6.3399999999999999E-8</v>
      </c>
      <c r="DG157" s="423">
        <v>4.0999999999999999E-12</v>
      </c>
      <c r="DH157" s="423">
        <v>3.5699999999999999E-12</v>
      </c>
      <c r="DI157" s="423">
        <v>3.1000000000000001E-12</v>
      </c>
      <c r="DJ157" s="422">
        <v>-0.64158633099999995</v>
      </c>
      <c r="DK157" s="422">
        <v>-0.33011095800000001</v>
      </c>
      <c r="DL157" s="422">
        <v>-7.4461561999999995E-2</v>
      </c>
      <c r="DM157" s="423">
        <v>-7.9099999999999996E-10</v>
      </c>
      <c r="DN157" s="423">
        <v>-7.78E-10</v>
      </c>
      <c r="DO157" s="422">
        <v>3.4551776999999999E-2</v>
      </c>
      <c r="DP157" s="422">
        <v>1.747857523</v>
      </c>
      <c r="DQ157" s="422">
        <v>-1.6731434650000001</v>
      </c>
      <c r="DR157" s="422">
        <v>0.60098075100000004</v>
      </c>
      <c r="DS157" s="422">
        <v>0.37785186300000001</v>
      </c>
    </row>
    <row r="158" spans="1:124" x14ac:dyDescent="0.2">
      <c r="A158" s="422">
        <v>2013</v>
      </c>
      <c r="B158" s="422" t="s">
        <v>423</v>
      </c>
      <c r="C158" s="422" t="s">
        <v>423</v>
      </c>
      <c r="D158" s="422" t="s">
        <v>423</v>
      </c>
      <c r="E158" s="422">
        <v>1</v>
      </c>
      <c r="F158" s="422" t="s">
        <v>418</v>
      </c>
      <c r="G158" s="422">
        <v>1.976886192</v>
      </c>
      <c r="H158" s="422">
        <v>5.1969720000000002E-3</v>
      </c>
      <c r="I158" s="422">
        <v>30</v>
      </c>
      <c r="J158" s="422">
        <v>-1.91063E-4</v>
      </c>
      <c r="K158" s="422">
        <v>0.104749553</v>
      </c>
      <c r="L158" s="422">
        <v>8.1039205000000003E-2</v>
      </c>
      <c r="M158" s="422">
        <v>-2.336994351</v>
      </c>
      <c r="N158" s="422">
        <v>1.2055611000000001E-2</v>
      </c>
      <c r="O158" s="422">
        <v>30</v>
      </c>
      <c r="P158" s="422">
        <v>-8.8988200000000004E-4</v>
      </c>
      <c r="Q158" s="422">
        <v>0.422268119</v>
      </c>
      <c r="R158" s="422">
        <v>1.01816E-4</v>
      </c>
      <c r="S158" s="422">
        <v>11.667072859999999</v>
      </c>
      <c r="T158" s="422">
        <v>5.1334220000000003E-3</v>
      </c>
      <c r="U158" s="422">
        <v>30</v>
      </c>
      <c r="V158" s="422">
        <v>-2.1148400000000001E-4</v>
      </c>
      <c r="W158" s="422">
        <v>0.131535123</v>
      </c>
      <c r="X158" s="422">
        <v>4.8872064E-2</v>
      </c>
      <c r="Y158" s="422">
        <v>5.1214630359999997</v>
      </c>
      <c r="Z158" s="422">
        <v>1.2139329000000001E-2</v>
      </c>
      <c r="AA158" s="422">
        <v>30</v>
      </c>
      <c r="AB158" s="422">
        <v>-8.96049E-4</v>
      </c>
      <c r="AC158" s="422">
        <v>0.42225615300000002</v>
      </c>
      <c r="AD158" s="422">
        <v>1.01847E-4</v>
      </c>
      <c r="AE158" s="422">
        <v>16.820830529999999</v>
      </c>
      <c r="AF158" s="422">
        <v>5.8406755999999997E-2</v>
      </c>
      <c r="AG158" s="422">
        <v>30</v>
      </c>
      <c r="AH158" s="422">
        <v>1.10572E-4</v>
      </c>
      <c r="AI158" s="422">
        <v>2.7775599999999999E-4</v>
      </c>
      <c r="AJ158" s="422">
        <v>0.93034511600000003</v>
      </c>
      <c r="AK158" s="422">
        <v>-0.30957930700000003</v>
      </c>
      <c r="AL158" s="422">
        <v>6.1536775000000002E-2</v>
      </c>
      <c r="AM158" s="422">
        <v>30</v>
      </c>
      <c r="AN158" s="422">
        <v>1.2004979999999999E-3</v>
      </c>
      <c r="AO158" s="422">
        <v>2.9495474000000001E-2</v>
      </c>
      <c r="AP158" s="422">
        <v>0.36415834899999999</v>
      </c>
      <c r="AQ158" s="422">
        <v>9.953576194</v>
      </c>
      <c r="AR158" s="422">
        <v>0.22265332500000001</v>
      </c>
      <c r="AS158" s="422">
        <v>30</v>
      </c>
      <c r="AT158" s="422">
        <v>2.2898530000000001E-3</v>
      </c>
      <c r="AU158" s="422">
        <v>8.1970670000000006E-3</v>
      </c>
      <c r="AV158" s="422">
        <v>0.63421471900000004</v>
      </c>
      <c r="AW158" s="422">
        <v>-0.31226470200000001</v>
      </c>
      <c r="AX158" s="422">
        <v>0.22492957499999999</v>
      </c>
      <c r="AY158" s="422">
        <v>30</v>
      </c>
      <c r="AZ158" s="422">
        <v>4.0490029999999998E-3</v>
      </c>
      <c r="BA158" s="422">
        <v>2.5113362E-2</v>
      </c>
      <c r="BB158" s="422">
        <v>0.40292493800000001</v>
      </c>
      <c r="BC158" s="422">
        <v>1.131796493</v>
      </c>
      <c r="BD158" s="422">
        <v>5.1369642740000003</v>
      </c>
      <c r="BE158" s="422">
        <v>30</v>
      </c>
      <c r="BF158" s="422">
        <v>1.4786716E-2</v>
      </c>
      <c r="BG158" s="422">
        <v>6.4214399999999998E-4</v>
      </c>
      <c r="BH158" s="422">
        <v>0.89425716300000002</v>
      </c>
      <c r="BI158" s="422">
        <v>-21.047091529999999</v>
      </c>
      <c r="BJ158" s="422">
        <v>5.0208081269999996</v>
      </c>
      <c r="BK158" s="422">
        <v>30</v>
      </c>
      <c r="BL158" s="422">
        <v>1.6394450000000001E-2</v>
      </c>
      <c r="BM158" s="422">
        <v>8.2631999999999996E-4</v>
      </c>
      <c r="BN158" s="422">
        <v>0.88014308500000005</v>
      </c>
      <c r="BO158" s="422">
        <v>1.1951721E-2</v>
      </c>
      <c r="BP158" s="423">
        <v>3.6699999999999999E-7</v>
      </c>
      <c r="BQ158" s="422">
        <v>1.1813888E-2</v>
      </c>
      <c r="BR158" s="423">
        <v>3.4499999999999998E-7</v>
      </c>
      <c r="BS158" s="422">
        <v>1.1987331E-2</v>
      </c>
      <c r="BT158" s="422">
        <v>4.2642660000000001E-3</v>
      </c>
      <c r="BU158" s="423">
        <v>1.1899999999999999E-7</v>
      </c>
      <c r="BV158" s="422">
        <v>4.2425379999999997E-3</v>
      </c>
      <c r="BW158" s="423">
        <v>8.5300000000000003E-8</v>
      </c>
      <c r="BX158" s="422">
        <v>4.1759680000000004E-3</v>
      </c>
      <c r="BY158" s="423">
        <v>4.88E-5</v>
      </c>
      <c r="BZ158" s="423">
        <v>2.7400000000000001E-9</v>
      </c>
      <c r="CA158" s="423">
        <v>4.8000000000000001E-5</v>
      </c>
      <c r="CB158" s="423">
        <v>2.3699999999999999E-9</v>
      </c>
      <c r="CC158" s="423">
        <v>4.8300000000000002E-5</v>
      </c>
      <c r="CD158" s="423">
        <v>4.6700000000000002E-6</v>
      </c>
      <c r="CE158" s="423">
        <v>5.4800000000000001E-9</v>
      </c>
      <c r="CF158" s="423">
        <v>4.6299999999999997E-6</v>
      </c>
      <c r="CG158" s="423">
        <v>5.3199999999999998E-9</v>
      </c>
      <c r="CH158" s="423">
        <v>4.3599999999999998E-6</v>
      </c>
      <c r="CI158" s="423">
        <v>8.0999999999999997E-8</v>
      </c>
      <c r="CJ158" s="423">
        <v>2.04E-9</v>
      </c>
      <c r="CK158" s="423">
        <v>8.0900000000000003E-8</v>
      </c>
      <c r="CL158" s="423">
        <v>2.0099999999999999E-9</v>
      </c>
      <c r="CM158" s="423">
        <v>4.7600000000000003E-8</v>
      </c>
      <c r="CN158" s="424">
        <v>45204.602083333331</v>
      </c>
      <c r="CO158" s="422">
        <v>1696541227</v>
      </c>
      <c r="CP158" s="422" t="s">
        <v>420</v>
      </c>
      <c r="CQ158" s="422" t="s">
        <v>416</v>
      </c>
      <c r="CR158" s="422" t="s">
        <v>415</v>
      </c>
      <c r="CS158" s="422">
        <v>1400</v>
      </c>
      <c r="CT158" s="422">
        <v>50.292810000000003</v>
      </c>
      <c r="CU158" s="422">
        <v>2.7399999999999998E-3</v>
      </c>
      <c r="CV158" s="422">
        <v>2</v>
      </c>
      <c r="CW158" s="423">
        <v>2.9300000000000001E-8</v>
      </c>
      <c r="CX158" s="423">
        <v>1.05E-7</v>
      </c>
      <c r="CY158" s="422">
        <v>3</v>
      </c>
      <c r="CZ158" s="422">
        <v>30</v>
      </c>
      <c r="DA158" s="423">
        <v>2.65E-7</v>
      </c>
      <c r="DB158" s="423">
        <v>9.0999999999999994E-8</v>
      </c>
      <c r="DC158" s="422">
        <v>-3.4499999999999999E-3</v>
      </c>
      <c r="DD158" s="423">
        <v>8.6799999999999996E-8</v>
      </c>
      <c r="DE158" s="423">
        <v>7.5300000000000006E-8</v>
      </c>
      <c r="DF158" s="423">
        <v>6.5299999999999996E-8</v>
      </c>
      <c r="DG158" s="423">
        <v>4.2399999999999997E-12</v>
      </c>
      <c r="DH158" s="423">
        <v>3.6799999999999997E-12</v>
      </c>
      <c r="DI158" s="423">
        <v>3.1899999999999999E-12</v>
      </c>
      <c r="DJ158" s="422">
        <v>-0.81080232100000005</v>
      </c>
      <c r="DK158" s="422">
        <v>-0.414486945</v>
      </c>
      <c r="DL158" s="422">
        <v>-4.7856480999999999E-2</v>
      </c>
      <c r="DM158" s="423">
        <v>-8.6600000000000001E-10</v>
      </c>
      <c r="DN158" s="423">
        <v>-8.2900000000000003E-10</v>
      </c>
      <c r="DO158" s="422">
        <v>3.5923436000000003E-2</v>
      </c>
      <c r="DP158" s="422">
        <v>1.651198296</v>
      </c>
      <c r="DQ158" s="422">
        <v>-1.7299346819999999</v>
      </c>
      <c r="DR158" s="422">
        <v>0.60078496299999995</v>
      </c>
      <c r="DS158" s="422">
        <v>0.29525646700000002</v>
      </c>
    </row>
    <row r="159" spans="1:124" x14ac:dyDescent="0.2">
      <c r="A159" s="422">
        <v>2043</v>
      </c>
      <c r="B159" s="422" t="s">
        <v>423</v>
      </c>
      <c r="C159" s="422" t="s">
        <v>423</v>
      </c>
      <c r="D159" s="422" t="s">
        <v>423</v>
      </c>
      <c r="E159" s="422">
        <v>1</v>
      </c>
      <c r="F159" s="422" t="s">
        <v>418</v>
      </c>
      <c r="G159" s="422">
        <v>1.963978161</v>
      </c>
      <c r="H159" s="422">
        <v>2.2275475999999999E-2</v>
      </c>
      <c r="I159" s="422">
        <v>30</v>
      </c>
      <c r="J159" s="422">
        <v>5.6247199999999995E-4</v>
      </c>
      <c r="K159" s="422">
        <v>4.9414007000000003E-2</v>
      </c>
      <c r="L159" s="422">
        <v>0.237740014</v>
      </c>
      <c r="M159" s="422">
        <v>-2.3353249520000001</v>
      </c>
      <c r="N159" s="422">
        <v>3.8691617999999997E-2</v>
      </c>
      <c r="O159" s="422">
        <v>30</v>
      </c>
      <c r="P159" s="423">
        <v>4.71E-5</v>
      </c>
      <c r="Q159" s="422">
        <v>1.15016E-4</v>
      </c>
      <c r="R159" s="422">
        <v>0.95514561899999995</v>
      </c>
      <c r="S159" s="422">
        <v>11.654952249999999</v>
      </c>
      <c r="T159" s="422">
        <v>2.2314794999999998E-2</v>
      </c>
      <c r="U159" s="422">
        <v>30</v>
      </c>
      <c r="V159" s="422">
        <v>5.3236500000000003E-4</v>
      </c>
      <c r="W159" s="422">
        <v>4.4109810999999999E-2</v>
      </c>
      <c r="X159" s="422">
        <v>0.26530226099999998</v>
      </c>
      <c r="Y159" s="422">
        <v>5.123115973</v>
      </c>
      <c r="Z159" s="422">
        <v>3.8987061000000003E-2</v>
      </c>
      <c r="AA159" s="422">
        <v>30</v>
      </c>
      <c r="AB159" s="423">
        <v>4.8600000000000002E-5</v>
      </c>
      <c r="AC159" s="422">
        <v>1.20573E-4</v>
      </c>
      <c r="AD159" s="422">
        <v>0.95407595700000003</v>
      </c>
      <c r="AE159" s="422">
        <v>16.850308070000001</v>
      </c>
      <c r="AF159" s="422">
        <v>0.188017355</v>
      </c>
      <c r="AG159" s="422">
        <v>30</v>
      </c>
      <c r="AH159" s="422">
        <v>1.446108E-3</v>
      </c>
      <c r="AI159" s="422">
        <v>4.5846639999999996E-3</v>
      </c>
      <c r="AJ159" s="422">
        <v>0.72220486399999995</v>
      </c>
      <c r="AK159" s="422">
        <v>-0.26986500000000002</v>
      </c>
      <c r="AL159" s="422">
        <v>0.13636885800000001</v>
      </c>
      <c r="AM159" s="422">
        <v>30</v>
      </c>
      <c r="AN159" s="422">
        <v>8.3207799999999998E-4</v>
      </c>
      <c r="AO159" s="422">
        <v>2.8853569999999999E-3</v>
      </c>
      <c r="AP159" s="422">
        <v>0.77800948700000006</v>
      </c>
      <c r="AQ159" s="422">
        <v>9.9367079920000005</v>
      </c>
      <c r="AR159" s="422">
        <v>0.215714771</v>
      </c>
      <c r="AS159" s="422">
        <v>30</v>
      </c>
      <c r="AT159" s="422">
        <v>-1.913622E-3</v>
      </c>
      <c r="AU159" s="422">
        <v>6.0989360000000001E-3</v>
      </c>
      <c r="AV159" s="422">
        <v>0.68165960299999995</v>
      </c>
      <c r="AW159" s="422">
        <v>-0.33224833100000001</v>
      </c>
      <c r="AX159" s="422">
        <v>0.21749570100000001</v>
      </c>
      <c r="AY159" s="422">
        <v>30</v>
      </c>
      <c r="AZ159" s="422">
        <v>-1.9908339999999999E-3</v>
      </c>
      <c r="BA159" s="422">
        <v>6.493375E-3</v>
      </c>
      <c r="BB159" s="422">
        <v>0.67207763700000001</v>
      </c>
      <c r="BC159" s="422">
        <v>2.1836020380000001</v>
      </c>
      <c r="BD159" s="422">
        <v>5.2455292260000004</v>
      </c>
      <c r="BE159" s="422">
        <v>30</v>
      </c>
      <c r="BF159" s="422">
        <v>-7.6072618999999994E-2</v>
      </c>
      <c r="BG159" s="422">
        <v>1.6299708E-2</v>
      </c>
      <c r="BH159" s="422">
        <v>0.50137670499999998</v>
      </c>
      <c r="BI159" s="422">
        <v>-20.009206240000001</v>
      </c>
      <c r="BJ159" s="422">
        <v>5.1338707159999997</v>
      </c>
      <c r="BK159" s="422">
        <v>30</v>
      </c>
      <c r="BL159" s="422">
        <v>-7.5036508000000002E-2</v>
      </c>
      <c r="BM159" s="422">
        <v>1.6556062999999999E-2</v>
      </c>
      <c r="BN159" s="422">
        <v>0.49800267300000001</v>
      </c>
      <c r="BO159" s="422">
        <v>1.1952499E-2</v>
      </c>
      <c r="BP159" s="423">
        <v>5.8500000000000001E-7</v>
      </c>
      <c r="BQ159" s="422">
        <v>1.1814798E-2</v>
      </c>
      <c r="BR159" s="423">
        <v>4.9500000000000003E-7</v>
      </c>
      <c r="BS159" s="422">
        <v>1.1987187E-2</v>
      </c>
      <c r="BT159" s="422">
        <v>4.2660739999999999E-3</v>
      </c>
      <c r="BU159" s="423">
        <v>3.4700000000000002E-7</v>
      </c>
      <c r="BV159" s="422">
        <v>4.2443300000000002E-3</v>
      </c>
      <c r="BW159" s="423">
        <v>3.0800000000000001E-7</v>
      </c>
      <c r="BX159" s="422">
        <v>4.1759750000000002E-3</v>
      </c>
      <c r="BY159" s="423">
        <v>4.8999999999999998E-5</v>
      </c>
      <c r="BZ159" s="423">
        <v>1.6899999999999999E-8</v>
      </c>
      <c r="CA159" s="423">
        <v>4.8199999999999999E-5</v>
      </c>
      <c r="CB159" s="423">
        <v>1.42E-8</v>
      </c>
      <c r="CC159" s="423">
        <v>4.8300000000000002E-5</v>
      </c>
      <c r="CD159" s="423">
        <v>4.69E-6</v>
      </c>
      <c r="CE159" s="423">
        <v>5.8999999999999999E-9</v>
      </c>
      <c r="CF159" s="423">
        <v>4.6500000000000004E-6</v>
      </c>
      <c r="CG159" s="423">
        <v>5.9200000000000002E-9</v>
      </c>
      <c r="CH159" s="423">
        <v>4.3599999999999998E-6</v>
      </c>
      <c r="CI159" s="423">
        <v>8.28E-8</v>
      </c>
      <c r="CJ159" s="423">
        <v>1.9399999999999999E-9</v>
      </c>
      <c r="CK159" s="423">
        <v>8.2599999999999998E-8</v>
      </c>
      <c r="CL159" s="423">
        <v>1.97E-9</v>
      </c>
      <c r="CM159" s="423">
        <v>4.7699999999999997E-8</v>
      </c>
      <c r="CN159" s="424">
        <v>45206.34375</v>
      </c>
      <c r="CO159" s="422">
        <v>1696691746</v>
      </c>
      <c r="CP159" s="422" t="s">
        <v>422</v>
      </c>
      <c r="CQ159" s="422" t="s">
        <v>416</v>
      </c>
      <c r="CR159" s="422" t="s">
        <v>415</v>
      </c>
      <c r="CS159" s="422">
        <v>1376</v>
      </c>
      <c r="CT159" s="422">
        <v>46.20346</v>
      </c>
      <c r="CU159" s="422">
        <v>2.7399999999999998E-3</v>
      </c>
      <c r="CV159" s="422">
        <v>2</v>
      </c>
      <c r="CW159" s="423">
        <v>2.48E-8</v>
      </c>
      <c r="CX159" s="423">
        <v>9.6299999999999995E-8</v>
      </c>
      <c r="CY159" s="422">
        <v>3</v>
      </c>
      <c r="CZ159" s="422">
        <v>30</v>
      </c>
      <c r="DA159" s="423">
        <v>2.65E-7</v>
      </c>
      <c r="DB159" s="423">
        <v>8.7699999999999998E-8</v>
      </c>
      <c r="DC159" s="422">
        <v>-1.6799999999999999E-2</v>
      </c>
      <c r="DD159" s="423">
        <v>8.4100000000000005E-8</v>
      </c>
      <c r="DE159" s="423">
        <v>7.3700000000000005E-8</v>
      </c>
      <c r="DF159" s="423">
        <v>6.4700000000000004E-8</v>
      </c>
      <c r="DG159" s="423">
        <v>4.1200000000000002E-12</v>
      </c>
      <c r="DH159" s="423">
        <v>3.6100000000000002E-12</v>
      </c>
      <c r="DI159" s="423">
        <v>3.17E-12</v>
      </c>
      <c r="DJ159" s="422">
        <v>-1.6265520099999999</v>
      </c>
      <c r="DK159" s="422">
        <v>-0.31060707799999998</v>
      </c>
      <c r="DL159" s="422">
        <v>1.057692249</v>
      </c>
      <c r="DM159" s="423">
        <v>-8.2299999999999995E-10</v>
      </c>
      <c r="DN159" s="423">
        <v>-7.7999999999999999E-10</v>
      </c>
      <c r="DO159" s="422">
        <v>3.3578096000000002E-2</v>
      </c>
      <c r="DP159" s="422">
        <v>1.6382524890000001</v>
      </c>
      <c r="DQ159" s="422">
        <v>-1.7282704499999999</v>
      </c>
      <c r="DR159" s="422">
        <v>0.64209729400000004</v>
      </c>
      <c r="DS159" s="422">
        <v>0.260563341</v>
      </c>
    </row>
    <row r="160" spans="1:124" x14ac:dyDescent="0.2">
      <c r="A160" s="422">
        <v>1991</v>
      </c>
      <c r="B160" s="422" t="s">
        <v>419</v>
      </c>
      <c r="C160" s="422" t="s">
        <v>419</v>
      </c>
      <c r="D160" s="422" t="s">
        <v>419</v>
      </c>
      <c r="E160" s="422">
        <v>1</v>
      </c>
      <c r="F160" s="422" t="s">
        <v>418</v>
      </c>
      <c r="G160" s="422">
        <v>2.8418825829999999</v>
      </c>
      <c r="H160" s="422">
        <v>5.1731889999999999E-3</v>
      </c>
      <c r="I160" s="422">
        <v>30</v>
      </c>
      <c r="J160" s="423">
        <v>-2.1500000000000002E-6</v>
      </c>
      <c r="K160" s="423">
        <v>1.34E-5</v>
      </c>
      <c r="L160" s="422">
        <v>0.98466880000000001</v>
      </c>
      <c r="M160" s="422">
        <v>-2.9095502949999998</v>
      </c>
      <c r="N160" s="422">
        <v>1.0662934000000001E-2</v>
      </c>
      <c r="O160" s="422">
        <v>30</v>
      </c>
      <c r="P160" s="422">
        <v>-9.8620400000000007E-4</v>
      </c>
      <c r="Q160" s="422">
        <v>0.66295103499999997</v>
      </c>
      <c r="R160" s="423">
        <v>4.4099999999999998E-8</v>
      </c>
      <c r="S160" s="422">
        <v>12.463141719999999</v>
      </c>
      <c r="T160" s="422">
        <v>4.8703970000000003E-3</v>
      </c>
      <c r="U160" s="422">
        <v>30</v>
      </c>
      <c r="V160" s="423">
        <v>-3.6600000000000002E-5</v>
      </c>
      <c r="W160" s="422">
        <v>4.3835439999999996E-3</v>
      </c>
      <c r="X160" s="422">
        <v>0.72813254999999999</v>
      </c>
      <c r="Y160" s="422">
        <v>4.5470261120000002</v>
      </c>
      <c r="Z160" s="422">
        <v>1.0731279E-2</v>
      </c>
      <c r="AA160" s="422">
        <v>30</v>
      </c>
      <c r="AB160" s="422">
        <v>-9.925960000000001E-4</v>
      </c>
      <c r="AC160" s="422">
        <v>0.66304665500000004</v>
      </c>
      <c r="AD160" s="423">
        <v>4.3900000000000003E-8</v>
      </c>
      <c r="AE160" s="422">
        <v>16.815527459999998</v>
      </c>
      <c r="AF160" s="422">
        <v>6.2744641000000004E-2</v>
      </c>
      <c r="AG160" s="422">
        <v>30</v>
      </c>
      <c r="AH160" s="422">
        <v>-1.2636609999999999E-3</v>
      </c>
      <c r="AI160" s="422">
        <v>3.1434720999999999E-2</v>
      </c>
      <c r="AJ160" s="422">
        <v>0.348607104</v>
      </c>
      <c r="AK160" s="422">
        <v>-0.56407844699999998</v>
      </c>
      <c r="AL160" s="422">
        <v>6.0474333999999998E-2</v>
      </c>
      <c r="AM160" s="422">
        <v>30</v>
      </c>
      <c r="AN160" s="422">
        <v>-2.3379100000000001E-4</v>
      </c>
      <c r="AO160" s="422">
        <v>1.1582879999999999E-3</v>
      </c>
      <c r="AP160" s="422">
        <v>0.85829852799999995</v>
      </c>
      <c r="AQ160" s="422">
        <v>8.6635972530000007</v>
      </c>
      <c r="AR160" s="422">
        <v>0.19631800399999999</v>
      </c>
      <c r="AS160" s="422">
        <v>30</v>
      </c>
      <c r="AT160" s="422">
        <v>-5.8081440000000003E-3</v>
      </c>
      <c r="AU160" s="422">
        <v>6.7835363999999995E-2</v>
      </c>
      <c r="AV160" s="422">
        <v>0.16450868399999999</v>
      </c>
      <c r="AW160" s="422">
        <v>-0.44694262699999998</v>
      </c>
      <c r="AX160" s="422">
        <v>0.193218156</v>
      </c>
      <c r="AY160" s="422">
        <v>30</v>
      </c>
      <c r="AZ160" s="422">
        <v>-3.7803300000000001E-3</v>
      </c>
      <c r="BA160" s="422">
        <v>2.9666428000000002E-2</v>
      </c>
      <c r="BB160" s="422">
        <v>0.36275081399999998</v>
      </c>
      <c r="BC160" s="422">
        <v>1.2043370309999999</v>
      </c>
      <c r="BD160" s="422">
        <v>6.8056363949999996</v>
      </c>
      <c r="BE160" s="422">
        <v>30</v>
      </c>
      <c r="BF160" s="422">
        <v>-6.2208663999999997E-2</v>
      </c>
      <c r="BG160" s="422">
        <v>6.4753909999999996E-3</v>
      </c>
      <c r="BH160" s="422">
        <v>0.67250702200000001</v>
      </c>
      <c r="BI160" s="422">
        <v>-20.696878770000001</v>
      </c>
      <c r="BJ160" s="422">
        <v>6.6573572060000004</v>
      </c>
      <c r="BK160" s="422">
        <v>30</v>
      </c>
      <c r="BL160" s="422">
        <v>-5.8901195000000003E-2</v>
      </c>
      <c r="BM160" s="422">
        <v>6.0666119999999999E-3</v>
      </c>
      <c r="BN160" s="422">
        <v>0.68246062799999996</v>
      </c>
      <c r="BO160" s="422">
        <v>1.1960515E-2</v>
      </c>
      <c r="BP160" s="423">
        <v>4.7999999999999996E-7</v>
      </c>
      <c r="BQ160" s="422">
        <v>1.1813284E-2</v>
      </c>
      <c r="BR160" s="423">
        <v>4.6800000000000001E-7</v>
      </c>
      <c r="BS160" s="422">
        <v>1.1996764E-2</v>
      </c>
      <c r="BT160" s="422">
        <v>4.2614760000000002E-3</v>
      </c>
      <c r="BU160" s="423">
        <v>1.09E-7</v>
      </c>
      <c r="BV160" s="422">
        <v>4.2421860000000002E-3</v>
      </c>
      <c r="BW160" s="423">
        <v>7.0000000000000005E-8</v>
      </c>
      <c r="BX160" s="422">
        <v>4.1735820000000003E-3</v>
      </c>
      <c r="BY160" s="423">
        <v>4.88E-5</v>
      </c>
      <c r="BZ160" s="423">
        <v>2.0000000000000001E-9</v>
      </c>
      <c r="CA160" s="423">
        <v>4.8000000000000001E-5</v>
      </c>
      <c r="CB160" s="423">
        <v>2.04E-9</v>
      </c>
      <c r="CC160" s="423">
        <v>4.8300000000000002E-5</v>
      </c>
      <c r="CD160" s="423">
        <v>4.6700000000000002E-6</v>
      </c>
      <c r="CE160" s="423">
        <v>5.2700000000000002E-9</v>
      </c>
      <c r="CF160" s="423">
        <v>4.6299999999999997E-6</v>
      </c>
      <c r="CG160" s="423">
        <v>5.4299999999999997E-9</v>
      </c>
      <c r="CH160" s="423">
        <v>4.3499999999999999E-6</v>
      </c>
      <c r="CI160" s="423">
        <v>8.0599999999999994E-8</v>
      </c>
      <c r="CJ160" s="423">
        <v>2.0000000000000001E-9</v>
      </c>
      <c r="CK160" s="423">
        <v>8.05E-8</v>
      </c>
      <c r="CL160" s="423">
        <v>2.0099999999999999E-9</v>
      </c>
      <c r="CM160" s="423">
        <v>4.7600000000000003E-8</v>
      </c>
      <c r="CN160" s="424">
        <v>45203.558333333334</v>
      </c>
      <c r="CO160" s="422">
        <v>1696451054</v>
      </c>
      <c r="CP160" s="422" t="s">
        <v>420</v>
      </c>
      <c r="CQ160" s="422" t="s">
        <v>416</v>
      </c>
      <c r="CR160" s="422" t="s">
        <v>415</v>
      </c>
      <c r="CS160" s="422">
        <v>1398</v>
      </c>
      <c r="CT160" s="422">
        <v>50.964199999999998</v>
      </c>
      <c r="CU160" s="422">
        <v>2.5000000000000001E-3</v>
      </c>
      <c r="CV160" s="422">
        <v>2</v>
      </c>
      <c r="CW160" s="423">
        <v>2.8600000000000001E-8</v>
      </c>
      <c r="CX160" s="423">
        <v>1.05E-7</v>
      </c>
      <c r="CY160" s="422">
        <v>3</v>
      </c>
      <c r="CZ160" s="422">
        <v>30</v>
      </c>
      <c r="DA160" s="423">
        <v>2.65E-7</v>
      </c>
      <c r="DB160" s="423">
        <v>9.2799999999999997E-8</v>
      </c>
      <c r="DC160" s="422">
        <v>4.1399999999999996E-3</v>
      </c>
      <c r="DD160" s="423">
        <v>8.8899999999999995E-8</v>
      </c>
      <c r="DE160" s="423">
        <v>7.6899999999999994E-8</v>
      </c>
      <c r="DF160" s="423">
        <v>6.6500000000000007E-8</v>
      </c>
      <c r="DG160" s="423">
        <v>4.3399999999999997E-12</v>
      </c>
      <c r="DH160" s="423">
        <v>3.7600000000000001E-12</v>
      </c>
      <c r="DI160" s="423">
        <v>3.2500000000000001E-12</v>
      </c>
      <c r="DJ160" s="422">
        <v>-0.789140854</v>
      </c>
      <c r="DK160" s="422">
        <v>-0.489429275</v>
      </c>
      <c r="DL160" s="422">
        <v>-0.27680922499999999</v>
      </c>
      <c r="DM160" s="423">
        <v>-8.7199999999999999E-10</v>
      </c>
      <c r="DN160" s="423">
        <v>-8.6500000000000001E-10</v>
      </c>
      <c r="DO160" s="422">
        <v>3.6455079000000001E-2</v>
      </c>
      <c r="DP160" s="422">
        <v>2.5187261379999999</v>
      </c>
      <c r="DQ160" s="422">
        <v>-2.3007185959999998</v>
      </c>
      <c r="DR160" s="422">
        <v>0.33629635299999999</v>
      </c>
      <c r="DS160" s="422">
        <v>2.6829094000000001E-2</v>
      </c>
    </row>
    <row r="161" spans="1:123" x14ac:dyDescent="0.2">
      <c r="A161" s="422">
        <v>2003</v>
      </c>
      <c r="B161" s="422" t="s">
        <v>421</v>
      </c>
      <c r="C161" s="422" t="s">
        <v>421</v>
      </c>
      <c r="D161" s="422" t="s">
        <v>421</v>
      </c>
      <c r="E161" s="422">
        <v>1</v>
      </c>
      <c r="F161" s="422" t="s">
        <v>418</v>
      </c>
      <c r="G161" s="422">
        <v>-44.200611250000001</v>
      </c>
      <c r="H161" s="422">
        <v>1.1251337E-2</v>
      </c>
      <c r="I161" s="422">
        <v>30</v>
      </c>
      <c r="J161" s="422">
        <v>1.0297329999999999E-3</v>
      </c>
      <c r="K161" s="422">
        <v>0.64914641500000003</v>
      </c>
      <c r="L161" s="423">
        <v>7.8100000000000005E-8</v>
      </c>
      <c r="M161" s="422">
        <v>-14.451768339999999</v>
      </c>
      <c r="N161" s="422">
        <v>9.7053139999999996E-3</v>
      </c>
      <c r="O161" s="422">
        <v>30</v>
      </c>
      <c r="P161" s="422">
        <v>-1.28023E-4</v>
      </c>
      <c r="Q161" s="422">
        <v>1.3485271E-2</v>
      </c>
      <c r="R161" s="422">
        <v>0.54113647899999995</v>
      </c>
      <c r="S161" s="422">
        <v>-32.329018169999998</v>
      </c>
      <c r="T161" s="422">
        <v>1.0632034E-2</v>
      </c>
      <c r="U161" s="422">
        <v>30</v>
      </c>
      <c r="V161" s="422">
        <v>9.6707100000000001E-4</v>
      </c>
      <c r="W161" s="422">
        <v>0.64118799999999998</v>
      </c>
      <c r="X161" s="423">
        <v>1.0700000000000001E-7</v>
      </c>
      <c r="Y161" s="422">
        <v>-7.1687548730000001</v>
      </c>
      <c r="Z161" s="422">
        <v>9.7684810000000007E-3</v>
      </c>
      <c r="AA161" s="422">
        <v>30</v>
      </c>
      <c r="AB161" s="422">
        <v>-1.26685E-4</v>
      </c>
      <c r="AC161" s="422">
        <v>1.3034532E-2</v>
      </c>
      <c r="AD161" s="422">
        <v>0.54802179900000003</v>
      </c>
      <c r="AE161" s="422">
        <v>-40.418663189999997</v>
      </c>
      <c r="AF161" s="422">
        <v>0.115051443</v>
      </c>
      <c r="AG161" s="422">
        <v>30</v>
      </c>
      <c r="AH161" s="422">
        <v>-2.7395980000000002E-3</v>
      </c>
      <c r="AI161" s="422">
        <v>4.3943144000000003E-2</v>
      </c>
      <c r="AJ161" s="422">
        <v>0.26622781099999998</v>
      </c>
      <c r="AK161" s="422">
        <v>-0.25570304300000002</v>
      </c>
      <c r="AL161" s="422">
        <v>0.122346527</v>
      </c>
      <c r="AM161" s="422">
        <v>30</v>
      </c>
      <c r="AN161" s="422">
        <v>-3.7611860000000001E-3</v>
      </c>
      <c r="AO161" s="422">
        <v>7.3243328999999996E-2</v>
      </c>
      <c r="AP161" s="422">
        <v>0.14803791399999999</v>
      </c>
      <c r="AQ161" s="422">
        <v>-13.920972280000001</v>
      </c>
      <c r="AR161" s="422">
        <v>0.43064415299999997</v>
      </c>
      <c r="AS161" s="422">
        <v>30</v>
      </c>
      <c r="AT161" s="422">
        <v>3.0709673999999999E-2</v>
      </c>
      <c r="AU161" s="422">
        <v>0.39410778299999999</v>
      </c>
      <c r="AV161" s="422">
        <v>2.04241E-4</v>
      </c>
      <c r="AW161" s="422">
        <v>0.37014800799999997</v>
      </c>
      <c r="AX161" s="422">
        <v>0.43496696800000001</v>
      </c>
      <c r="AY161" s="422">
        <v>30</v>
      </c>
      <c r="AZ161" s="422">
        <v>3.1409543999999998E-2</v>
      </c>
      <c r="BA161" s="422">
        <v>0.40412191200000003</v>
      </c>
      <c r="BB161" s="422">
        <v>1.5999699999999999E-4</v>
      </c>
      <c r="BC161" s="422">
        <v>-38.234017080000001</v>
      </c>
      <c r="BD161" s="422">
        <v>10.94837317</v>
      </c>
      <c r="BE161" s="422">
        <v>30</v>
      </c>
      <c r="BF161" s="422">
        <v>0.187606677</v>
      </c>
      <c r="BG161" s="422">
        <v>2.2756166000000001E-2</v>
      </c>
      <c r="BH161" s="422">
        <v>0.42620169800000002</v>
      </c>
      <c r="BI161" s="422">
        <v>10.28267977</v>
      </c>
      <c r="BJ161" s="422">
        <v>11.50469541</v>
      </c>
      <c r="BK161" s="422">
        <v>30</v>
      </c>
      <c r="BL161" s="422">
        <v>0.196250911</v>
      </c>
      <c r="BM161" s="422">
        <v>2.2551468000000002E-2</v>
      </c>
      <c r="BN161" s="422">
        <v>0.42831415299999998</v>
      </c>
      <c r="BO161" s="422">
        <v>1.143124E-2</v>
      </c>
      <c r="BP161" s="423">
        <v>1.5099999999999999E-7</v>
      </c>
      <c r="BQ161" s="422">
        <v>1.1813148000000001E-2</v>
      </c>
      <c r="BR161" s="423">
        <v>2.4999999999999999E-7</v>
      </c>
      <c r="BS161" s="422">
        <v>1.1466017E-2</v>
      </c>
      <c r="BT161" s="422">
        <v>4.2125840000000001E-3</v>
      </c>
      <c r="BU161" s="423">
        <v>1.85E-7</v>
      </c>
      <c r="BV161" s="422">
        <v>4.2430009999999997E-3</v>
      </c>
      <c r="BW161" s="423">
        <v>1.8E-7</v>
      </c>
      <c r="BX161" s="422">
        <v>4.1249060000000002E-3</v>
      </c>
      <c r="BY161" s="423">
        <v>4.6100000000000002E-5</v>
      </c>
      <c r="BZ161" s="423">
        <v>4.32E-9</v>
      </c>
      <c r="CA161" s="423">
        <v>4.8099999999999997E-5</v>
      </c>
      <c r="CB161" s="423">
        <v>3.4900000000000001E-9</v>
      </c>
      <c r="CC161" s="423">
        <v>4.5599999999999997E-5</v>
      </c>
      <c r="CD161" s="423">
        <v>4.6500000000000004E-6</v>
      </c>
      <c r="CE161" s="423">
        <v>9.3700000000000005E-9</v>
      </c>
      <c r="CF161" s="423">
        <v>4.7099999999999998E-6</v>
      </c>
      <c r="CG161" s="423">
        <v>8.1599999999999999E-9</v>
      </c>
      <c r="CH161" s="423">
        <v>4.25E-6</v>
      </c>
      <c r="CI161" s="423">
        <v>1.0700000000000001E-7</v>
      </c>
      <c r="CJ161" s="423">
        <v>3.4200000000000002E-9</v>
      </c>
      <c r="CK161" s="423">
        <v>1.11E-7</v>
      </c>
      <c r="CL161" s="423">
        <v>3.36E-9</v>
      </c>
      <c r="CM161" s="423">
        <v>4.5699999999999999E-8</v>
      </c>
      <c r="CN161" s="424">
        <v>45204.109027777777</v>
      </c>
      <c r="CO161" s="422">
        <v>1696498643</v>
      </c>
      <c r="CP161" s="422" t="s">
        <v>420</v>
      </c>
      <c r="CQ161" s="422" t="s">
        <v>416</v>
      </c>
      <c r="CR161" s="422" t="s">
        <v>415</v>
      </c>
      <c r="CS161" s="422">
        <v>1490</v>
      </c>
      <c r="CT161" s="422">
        <v>56.091149999999999</v>
      </c>
      <c r="CU161" s="422">
        <v>2.5000000000000001E-3</v>
      </c>
      <c r="CV161" s="422">
        <v>3</v>
      </c>
      <c r="CW161" s="423">
        <v>2.5200000000000001E-8</v>
      </c>
      <c r="CX161" s="423">
        <v>9.8700000000000004E-8</v>
      </c>
      <c r="CY161" s="422">
        <v>3</v>
      </c>
      <c r="CZ161" s="422">
        <v>30</v>
      </c>
      <c r="DA161" s="423">
        <v>2.65E-7</v>
      </c>
      <c r="DB161" s="423">
        <v>3.6799999999999999E-8</v>
      </c>
      <c r="DC161" s="422">
        <v>0.22115689999999999</v>
      </c>
      <c r="DD161" s="423">
        <v>3.6099999999999999E-8</v>
      </c>
      <c r="DE161" s="423">
        <v>3.2399999999999999E-8</v>
      </c>
      <c r="DF161" s="423">
        <v>2.9000000000000002E-8</v>
      </c>
      <c r="DG161" s="423">
        <v>1.66E-12</v>
      </c>
      <c r="DH161" s="423">
        <v>1.4899999999999999E-12</v>
      </c>
      <c r="DI161" s="423">
        <v>1.3399999999999999E-12</v>
      </c>
      <c r="DJ161" s="422">
        <v>-1.8788232469999999</v>
      </c>
      <c r="DK161" s="422">
        <v>-0.98219471400000002</v>
      </c>
      <c r="DL161" s="422">
        <v>-0.12587796900000001</v>
      </c>
      <c r="DM161" s="423">
        <v>-2.5799999999999999E-10</v>
      </c>
      <c r="DN161" s="423">
        <v>-2.39E-10</v>
      </c>
      <c r="DO161" s="422">
        <v>3.7645066999999997E-2</v>
      </c>
      <c r="DP161" s="422">
        <v>-44.661439680000001</v>
      </c>
      <c r="DQ161" s="422">
        <v>-13.807214099999999</v>
      </c>
      <c r="DR161" s="422">
        <v>0.57850053999999995</v>
      </c>
      <c r="DS161" s="422">
        <v>0.76044612199999995</v>
      </c>
    </row>
    <row r="162" spans="1:123" x14ac:dyDescent="0.2">
      <c r="A162" s="422">
        <v>2008</v>
      </c>
      <c r="B162" s="422" t="s">
        <v>421</v>
      </c>
      <c r="C162" s="422" t="s">
        <v>421</v>
      </c>
      <c r="D162" s="422" t="s">
        <v>421</v>
      </c>
      <c r="E162" s="422">
        <v>1</v>
      </c>
      <c r="F162" s="422" t="s">
        <v>418</v>
      </c>
      <c r="G162" s="422">
        <v>-44.244374559999997</v>
      </c>
      <c r="H162" s="422">
        <v>8.1572480000000006E-3</v>
      </c>
      <c r="I162" s="422">
        <v>30</v>
      </c>
      <c r="J162" s="422">
        <v>5.84944E-4</v>
      </c>
      <c r="K162" s="422">
        <v>0.39851311</v>
      </c>
      <c r="L162" s="422">
        <v>1.8352400000000001E-4</v>
      </c>
      <c r="M162" s="422">
        <v>-14.40978206</v>
      </c>
      <c r="N162" s="422">
        <v>1.2415106E-2</v>
      </c>
      <c r="O162" s="422">
        <v>30</v>
      </c>
      <c r="P162" s="422">
        <v>-5.01466E-4</v>
      </c>
      <c r="Q162" s="422">
        <v>0.12644001999999999</v>
      </c>
      <c r="R162" s="422">
        <v>5.3803574999999999E-2</v>
      </c>
      <c r="S162" s="422">
        <v>-32.368829230000003</v>
      </c>
      <c r="T162" s="422">
        <v>7.5745049999999996E-3</v>
      </c>
      <c r="U162" s="422">
        <v>30</v>
      </c>
      <c r="V162" s="422">
        <v>5.3422500000000004E-4</v>
      </c>
      <c r="W162" s="422">
        <v>0.385514792</v>
      </c>
      <c r="X162" s="422">
        <v>2.5112300000000001E-4</v>
      </c>
      <c r="Y162" s="422">
        <v>-7.1265904689999999</v>
      </c>
      <c r="Z162" s="422">
        <v>1.2489729999999999E-2</v>
      </c>
      <c r="AA162" s="422">
        <v>30</v>
      </c>
      <c r="AB162" s="422">
        <v>-5.03463E-4</v>
      </c>
      <c r="AC162" s="422">
        <v>0.12593051999999999</v>
      </c>
      <c r="AD162" s="422">
        <v>5.4323218E-2</v>
      </c>
      <c r="AE162" s="422">
        <v>-40.434140309999997</v>
      </c>
      <c r="AF162" s="422">
        <v>7.8803481999999994E-2</v>
      </c>
      <c r="AG162" s="422">
        <v>30</v>
      </c>
      <c r="AH162" s="422">
        <v>1.8191920000000001E-3</v>
      </c>
      <c r="AI162" s="422">
        <v>4.1301689000000003E-2</v>
      </c>
      <c r="AJ162" s="422">
        <v>0.28142742799999998</v>
      </c>
      <c r="AK162" s="422">
        <v>-0.27104591900000002</v>
      </c>
      <c r="AL162" s="422">
        <v>8.6258572000000006E-2</v>
      </c>
      <c r="AM162" s="422">
        <v>30</v>
      </c>
      <c r="AN162" s="422">
        <v>1.823191E-3</v>
      </c>
      <c r="AO162" s="422">
        <v>3.4622752999999999E-2</v>
      </c>
      <c r="AP162" s="422">
        <v>0.32487711200000002</v>
      </c>
      <c r="AQ162" s="422">
        <v>-13.669969200000001</v>
      </c>
      <c r="AR162" s="422">
        <v>0.46793899799999999</v>
      </c>
      <c r="AS162" s="422">
        <v>30</v>
      </c>
      <c r="AT162" s="422">
        <v>3.2502626999999999E-2</v>
      </c>
      <c r="AU162" s="422">
        <v>0.373904028</v>
      </c>
      <c r="AV162" s="422">
        <v>3.3066900000000001E-4</v>
      </c>
      <c r="AW162" s="422">
        <v>0.53980830199999996</v>
      </c>
      <c r="AX162" s="422">
        <v>0.483986841</v>
      </c>
      <c r="AY162" s="422">
        <v>30</v>
      </c>
      <c r="AZ162" s="422">
        <v>3.398586E-2</v>
      </c>
      <c r="BA162" s="422">
        <v>0.38214759599999998</v>
      </c>
      <c r="BB162" s="422">
        <v>2.7211200000000003E-4</v>
      </c>
      <c r="BC162" s="422">
        <v>-39.112937860000002</v>
      </c>
      <c r="BD162" s="422">
        <v>9.4414585780000007</v>
      </c>
      <c r="BE162" s="422">
        <v>30</v>
      </c>
      <c r="BF162" s="422">
        <v>0.35537343500000002</v>
      </c>
      <c r="BG162" s="422">
        <v>0.10979775</v>
      </c>
      <c r="BH162" s="422">
        <v>7.3659763000000003E-2</v>
      </c>
      <c r="BI162" s="422">
        <v>9.3196078769999993</v>
      </c>
      <c r="BJ162" s="422">
        <v>9.9185100370000008</v>
      </c>
      <c r="BK162" s="422">
        <v>30</v>
      </c>
      <c r="BL162" s="422">
        <v>0.37369206500000002</v>
      </c>
      <c r="BM162" s="422">
        <v>0.110011118</v>
      </c>
      <c r="BN162" s="422">
        <v>7.3363339999999999E-2</v>
      </c>
      <c r="BO162" s="422">
        <v>1.1430895999999999E-2</v>
      </c>
      <c r="BP162" s="423">
        <v>2.3099999999999999E-7</v>
      </c>
      <c r="BQ162" s="422">
        <v>1.1813278E-2</v>
      </c>
      <c r="BR162" s="423">
        <v>2.9400000000000001E-7</v>
      </c>
      <c r="BS162" s="422">
        <v>1.1465546E-2</v>
      </c>
      <c r="BT162" s="422">
        <v>4.212665E-3</v>
      </c>
      <c r="BU162" s="423">
        <v>2.3999999999999998E-7</v>
      </c>
      <c r="BV162" s="422">
        <v>4.2429030000000001E-3</v>
      </c>
      <c r="BW162" s="423">
        <v>2.2100000000000001E-7</v>
      </c>
      <c r="BX162" s="422">
        <v>4.1250820000000004E-3</v>
      </c>
      <c r="BY162" s="423">
        <v>4.6100000000000002E-5</v>
      </c>
      <c r="BZ162" s="423">
        <v>4.1599999999999997E-9</v>
      </c>
      <c r="CA162" s="423">
        <v>4.8099999999999997E-5</v>
      </c>
      <c r="CB162" s="423">
        <v>2.5500000000000001E-9</v>
      </c>
      <c r="CC162" s="423">
        <v>4.5599999999999997E-5</v>
      </c>
      <c r="CD162" s="423">
        <v>4.6600000000000003E-6</v>
      </c>
      <c r="CE162" s="423">
        <v>1.0099999999999999E-8</v>
      </c>
      <c r="CF162" s="423">
        <v>4.7299999999999996E-6</v>
      </c>
      <c r="CG162" s="423">
        <v>8.8599999999999996E-9</v>
      </c>
      <c r="CH162" s="423">
        <v>4.2599999999999999E-6</v>
      </c>
      <c r="CI162" s="423">
        <v>1.11E-7</v>
      </c>
      <c r="CJ162" s="423">
        <v>3.8700000000000001E-9</v>
      </c>
      <c r="CK162" s="423">
        <v>1.1600000000000001E-7</v>
      </c>
      <c r="CL162" s="423">
        <v>3.6300000000000001E-9</v>
      </c>
      <c r="CM162" s="423">
        <v>4.5699999999999999E-8</v>
      </c>
      <c r="CN162" s="424">
        <v>45204.336111111108</v>
      </c>
      <c r="CO162" s="422">
        <v>1696518240</v>
      </c>
      <c r="CP162" s="422" t="s">
        <v>420</v>
      </c>
      <c r="CQ162" s="422" t="s">
        <v>416</v>
      </c>
      <c r="CR162" s="422" t="s">
        <v>415</v>
      </c>
      <c r="CS162" s="422">
        <v>1444</v>
      </c>
      <c r="CT162" s="422">
        <v>53.527679999999997</v>
      </c>
      <c r="CU162" s="422">
        <v>2.5000000000000001E-3</v>
      </c>
      <c r="CV162" s="422">
        <v>3</v>
      </c>
      <c r="CW162" s="423">
        <v>2.4100000000000001E-8</v>
      </c>
      <c r="CX162" s="423">
        <v>9.2399999999999994E-8</v>
      </c>
      <c r="CY162" s="422">
        <v>3</v>
      </c>
      <c r="CZ162" s="422">
        <v>30</v>
      </c>
      <c r="DA162" s="423">
        <v>2.65E-7</v>
      </c>
      <c r="DB162" s="423">
        <v>3.3600000000000003E-8</v>
      </c>
      <c r="DC162" s="422">
        <v>0.1900733</v>
      </c>
      <c r="DD162" s="423">
        <v>3.2999999999999998E-8</v>
      </c>
      <c r="DE162" s="423">
        <v>2.9700000000000001E-8</v>
      </c>
      <c r="DF162" s="423">
        <v>2.66E-8</v>
      </c>
      <c r="DG162" s="423">
        <v>1.52E-12</v>
      </c>
      <c r="DH162" s="423">
        <v>1.37E-12</v>
      </c>
      <c r="DI162" s="423">
        <v>1.23E-12</v>
      </c>
      <c r="DJ162" s="422">
        <v>-2.0033512199999999</v>
      </c>
      <c r="DK162" s="422">
        <v>-1.065741378</v>
      </c>
      <c r="DL162" s="422">
        <v>-0.168492857</v>
      </c>
      <c r="DM162" s="423">
        <v>-2.3500000000000002E-10</v>
      </c>
      <c r="DN162" s="423">
        <v>-2.17E-10</v>
      </c>
      <c r="DO162" s="422">
        <v>3.7069030000000003E-2</v>
      </c>
      <c r="DP162" s="422">
        <v>-44.70533107</v>
      </c>
      <c r="DQ162" s="422">
        <v>-13.76535777</v>
      </c>
      <c r="DR162" s="422">
        <v>0.562534706</v>
      </c>
      <c r="DS162" s="422">
        <v>1.058161637</v>
      </c>
    </row>
    <row r="163" spans="1:123" x14ac:dyDescent="0.2">
      <c r="A163" s="422">
        <v>1985</v>
      </c>
      <c r="B163" s="422" t="s">
        <v>419</v>
      </c>
      <c r="C163" s="422" t="s">
        <v>419</v>
      </c>
      <c r="D163" s="422" t="s">
        <v>419</v>
      </c>
      <c r="E163" s="422">
        <v>1</v>
      </c>
      <c r="F163" s="422" t="s">
        <v>418</v>
      </c>
      <c r="G163" s="422">
        <v>2.8060727760000002</v>
      </c>
      <c r="H163" s="422">
        <v>3.6595479999999999E-3</v>
      </c>
      <c r="I163" s="422">
        <v>30</v>
      </c>
      <c r="J163" s="422">
        <v>-1.53394E-4</v>
      </c>
      <c r="K163" s="422">
        <v>0.136163641</v>
      </c>
      <c r="L163" s="422">
        <v>4.4783217E-2</v>
      </c>
      <c r="M163" s="422">
        <v>-2.943621619</v>
      </c>
      <c r="N163" s="422">
        <v>1.0937618E-2</v>
      </c>
      <c r="O163" s="422">
        <v>30</v>
      </c>
      <c r="P163" s="422">
        <v>-1.0417790000000001E-3</v>
      </c>
      <c r="Q163" s="422">
        <v>0.70308356599999999</v>
      </c>
      <c r="R163" s="423">
        <v>7.2799999999999997E-9</v>
      </c>
      <c r="S163" s="422">
        <v>12.42815871</v>
      </c>
      <c r="T163" s="422">
        <v>3.5771169999999999E-3</v>
      </c>
      <c r="U163" s="422">
        <v>30</v>
      </c>
      <c r="V163" s="422">
        <v>-1.8128E-4</v>
      </c>
      <c r="W163" s="422">
        <v>0.19903696800000001</v>
      </c>
      <c r="X163" s="422">
        <v>1.3469162E-2</v>
      </c>
      <c r="Y163" s="422">
        <v>4.5126584440000004</v>
      </c>
      <c r="Z163" s="422">
        <v>1.1010588E-2</v>
      </c>
      <c r="AA163" s="422">
        <v>30</v>
      </c>
      <c r="AB163" s="422">
        <v>-1.048851E-3</v>
      </c>
      <c r="AC163" s="422">
        <v>0.70324723600000005</v>
      </c>
      <c r="AD163" s="423">
        <v>7.2200000000000003E-9</v>
      </c>
      <c r="AE163" s="422">
        <v>16.707137790000001</v>
      </c>
      <c r="AF163" s="422">
        <v>5.8851065000000001E-2</v>
      </c>
      <c r="AG163" s="422">
        <v>30</v>
      </c>
      <c r="AH163" s="422">
        <v>-1.125743E-3</v>
      </c>
      <c r="AI163" s="422">
        <v>2.8357732E-2</v>
      </c>
      <c r="AJ163" s="422">
        <v>0.373715305</v>
      </c>
      <c r="AK163" s="422">
        <v>-0.60137663100000005</v>
      </c>
      <c r="AL163" s="422">
        <v>5.8366552000000002E-2</v>
      </c>
      <c r="AM163" s="422">
        <v>30</v>
      </c>
      <c r="AN163" s="422">
        <v>1.03997E-4</v>
      </c>
      <c r="AO163" s="422">
        <v>2.46047E-4</v>
      </c>
      <c r="AP163" s="422">
        <v>0.93443259599999995</v>
      </c>
      <c r="AQ163" s="422">
        <v>8.5414827520000003</v>
      </c>
      <c r="AR163" s="422">
        <v>0.219376615</v>
      </c>
      <c r="AS163" s="422">
        <v>30</v>
      </c>
      <c r="AT163" s="422">
        <v>3.1833080000000001E-3</v>
      </c>
      <c r="AU163" s="422">
        <v>1.6318426E-2</v>
      </c>
      <c r="AV163" s="422">
        <v>0.50112905500000005</v>
      </c>
      <c r="AW163" s="422">
        <v>-0.49956456300000002</v>
      </c>
      <c r="AX163" s="422">
        <v>0.221148399</v>
      </c>
      <c r="AY163" s="422">
        <v>30</v>
      </c>
      <c r="AZ163" s="422">
        <v>5.2421389999999998E-3</v>
      </c>
      <c r="BA163" s="422">
        <v>4.3546287000000003E-2</v>
      </c>
      <c r="BB163" s="422">
        <v>0.26844726499999999</v>
      </c>
      <c r="BC163" s="422">
        <v>-1.5847369899999999</v>
      </c>
      <c r="BD163" s="422">
        <v>5.0844802639999997</v>
      </c>
      <c r="BE163" s="422">
        <v>30</v>
      </c>
      <c r="BF163" s="422">
        <v>-0.108170634</v>
      </c>
      <c r="BG163" s="422">
        <v>3.5077393999999998E-2</v>
      </c>
      <c r="BH163" s="422">
        <v>0.32166407899999999</v>
      </c>
      <c r="BI163" s="422">
        <v>-23.32335771</v>
      </c>
      <c r="BJ163" s="422">
        <v>4.9674788039999997</v>
      </c>
      <c r="BK163" s="422">
        <v>30</v>
      </c>
      <c r="BL163" s="422">
        <v>-0.10362766399999999</v>
      </c>
      <c r="BM163" s="422">
        <v>3.3727261000000001E-2</v>
      </c>
      <c r="BN163" s="422">
        <v>0.33132647999999998</v>
      </c>
      <c r="BO163" s="422">
        <v>1.1960465E-2</v>
      </c>
      <c r="BP163" s="423">
        <v>4.7599999999999997E-7</v>
      </c>
      <c r="BQ163" s="422">
        <v>1.1813643E-2</v>
      </c>
      <c r="BR163" s="423">
        <v>4.5400000000000002E-7</v>
      </c>
      <c r="BS163" s="422">
        <v>1.1996349E-2</v>
      </c>
      <c r="BT163" s="422">
        <v>4.261435E-3</v>
      </c>
      <c r="BU163" s="423">
        <v>1.61E-7</v>
      </c>
      <c r="BV163" s="422">
        <v>4.2422909999999996E-3</v>
      </c>
      <c r="BW163" s="423">
        <v>1.24E-7</v>
      </c>
      <c r="BX163" s="422">
        <v>4.1734390000000001E-3</v>
      </c>
      <c r="BY163" s="423">
        <v>4.88E-5</v>
      </c>
      <c r="BZ163" s="423">
        <v>3.41E-9</v>
      </c>
      <c r="CA163" s="423">
        <v>4.8000000000000001E-5</v>
      </c>
      <c r="CB163" s="423">
        <v>2.57E-9</v>
      </c>
      <c r="CC163" s="423">
        <v>4.8300000000000002E-5</v>
      </c>
      <c r="CD163" s="423">
        <v>4.6600000000000003E-6</v>
      </c>
      <c r="CE163" s="423">
        <v>5.3199999999999998E-9</v>
      </c>
      <c r="CF163" s="423">
        <v>4.6199999999999998E-6</v>
      </c>
      <c r="CG163" s="423">
        <v>5.0899999999999996E-9</v>
      </c>
      <c r="CH163" s="423">
        <v>4.3499999999999999E-6</v>
      </c>
      <c r="CI163" s="423">
        <v>7.9700000000000006E-8</v>
      </c>
      <c r="CJ163" s="423">
        <v>1.99E-9</v>
      </c>
      <c r="CK163" s="423">
        <v>7.9899999999999994E-8</v>
      </c>
      <c r="CL163" s="423">
        <v>2.0700000000000001E-9</v>
      </c>
      <c r="CM163" s="423">
        <v>4.7500000000000002E-8</v>
      </c>
      <c r="CN163" s="424">
        <v>45203.178472222222</v>
      </c>
      <c r="CO163" s="422">
        <v>1696418257</v>
      </c>
      <c r="CP163" s="422" t="s">
        <v>417</v>
      </c>
      <c r="CQ163" s="422" t="s">
        <v>416</v>
      </c>
      <c r="CR163" s="422" t="s">
        <v>415</v>
      </c>
      <c r="CS163" s="422">
        <v>1462</v>
      </c>
      <c r="CT163" s="422">
        <v>52.947839999999999</v>
      </c>
      <c r="CU163" s="422">
        <v>2.3900000000000002E-3</v>
      </c>
      <c r="CV163" s="422">
        <v>2</v>
      </c>
      <c r="CW163" s="423">
        <v>2.8900000000000001E-8</v>
      </c>
      <c r="CX163" s="423">
        <v>1.05E-7</v>
      </c>
      <c r="CY163" s="422">
        <v>3</v>
      </c>
      <c r="CZ163" s="422">
        <v>30</v>
      </c>
      <c r="DA163" s="423">
        <v>2.65E-7</v>
      </c>
      <c r="DB163" s="423">
        <v>9.7399999999999999E-8</v>
      </c>
      <c r="DC163" s="422">
        <v>0.28334239999999999</v>
      </c>
      <c r="DD163" s="423">
        <v>9.2999999999999999E-8</v>
      </c>
      <c r="DE163" s="423">
        <v>8.0400000000000005E-8</v>
      </c>
      <c r="DF163" s="423">
        <v>6.9300000000000005E-8</v>
      </c>
      <c r="DG163" s="423">
        <v>4.5399999999999996E-12</v>
      </c>
      <c r="DH163" s="423">
        <v>3.9299999999999996E-12</v>
      </c>
      <c r="DI163" s="423">
        <v>3.3899999999999999E-12</v>
      </c>
      <c r="DJ163" s="422">
        <v>-0.24131482400000001</v>
      </c>
      <c r="DK163" s="422">
        <v>-3.5679581000000002E-2</v>
      </c>
      <c r="DL163" s="422">
        <v>7.7180090000000007E-2</v>
      </c>
      <c r="DM163" s="423">
        <v>-9.1900000000000003E-10</v>
      </c>
      <c r="DN163" s="423">
        <v>-9.1700000000000004E-10</v>
      </c>
      <c r="DO163" s="422">
        <v>3.6216033000000002E-2</v>
      </c>
      <c r="DP163" s="422">
        <v>2.4828115319999999</v>
      </c>
      <c r="DQ163" s="422">
        <v>-2.3346844710000001</v>
      </c>
      <c r="DR163" s="422">
        <v>0.29738700099999998</v>
      </c>
      <c r="DS163" s="422">
        <v>-6.6813102999999999E-2</v>
      </c>
    </row>
  </sheetData>
  <phoneticPr fontId="18" type="noConversion"/>
  <pageMargins left="0.75" right="0.75" top="1" bottom="1" header="0.5" footer="0.5"/>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8F5F-C185-EC44-8C19-A21A6BA6AAB9}">
  <dimension ref="A1:R35"/>
  <sheetViews>
    <sheetView workbookViewId="0">
      <selection activeCell="A2" sqref="A2:A16"/>
    </sheetView>
  </sheetViews>
  <sheetFormatPr baseColWidth="10" defaultRowHeight="16" x14ac:dyDescent="0.2"/>
  <cols>
    <col min="1" max="17" width="10.83203125" style="422"/>
    <col min="18" max="18" width="15" style="422" bestFit="1" customWidth="1"/>
    <col min="19" max="16384" width="10.83203125" style="422"/>
  </cols>
  <sheetData>
    <row r="1" spans="1:18" x14ac:dyDescent="0.2">
      <c r="A1" s="510" t="s">
        <v>411</v>
      </c>
      <c r="B1" s="509" t="s">
        <v>626</v>
      </c>
      <c r="C1" s="509" t="s">
        <v>625</v>
      </c>
      <c r="D1" s="509" t="s">
        <v>624</v>
      </c>
      <c r="E1" s="509" t="s">
        <v>623</v>
      </c>
      <c r="F1" s="509" t="s">
        <v>622</v>
      </c>
      <c r="G1" s="509" t="s">
        <v>621</v>
      </c>
      <c r="H1" s="509" t="s">
        <v>620</v>
      </c>
      <c r="I1" s="509" t="s">
        <v>619</v>
      </c>
      <c r="J1" s="509" t="s">
        <v>618</v>
      </c>
      <c r="K1" s="509" t="s">
        <v>617</v>
      </c>
      <c r="L1" s="509" t="s">
        <v>616</v>
      </c>
      <c r="M1" s="509" t="s">
        <v>615</v>
      </c>
      <c r="N1" s="509" t="s">
        <v>614</v>
      </c>
      <c r="O1" s="509" t="s">
        <v>613</v>
      </c>
      <c r="P1" s="508" t="s">
        <v>612</v>
      </c>
    </row>
    <row r="2" spans="1:18" x14ac:dyDescent="0.2">
      <c r="A2" s="505">
        <v>1530</v>
      </c>
      <c r="B2" s="504">
        <f>Clumped_Raw!DP9</f>
        <v>-8.047216909670718</v>
      </c>
      <c r="C2" s="504">
        <f>Clumped_Raw!DP10</f>
        <v>4.5121341822566441E-2</v>
      </c>
      <c r="D2" s="504">
        <f>Clumped_Raw!DP11</f>
        <v>2.6050818847455855E-2</v>
      </c>
      <c r="E2" s="504">
        <f>Clumped_Raw!DQ9</f>
        <v>-6.1861320065081635</v>
      </c>
      <c r="F2" s="504">
        <f>Clumped_Raw!DQ10</f>
        <v>6.9807903912958186E-2</v>
      </c>
      <c r="G2" s="504">
        <f>Clumped_Raw!DQ11</f>
        <v>4.0303612115709937E-2</v>
      </c>
      <c r="H2" s="504">
        <f>Clumped_Raw!DR9</f>
        <v>0.63171985300827138</v>
      </c>
      <c r="I2" s="504">
        <f>Clumped_Raw!DR10</f>
        <v>1.708881697099034E-2</v>
      </c>
      <c r="J2" s="504">
        <f>Clumped_Raw!DR11</f>
        <v>9.8662330783335188E-3</v>
      </c>
      <c r="K2" s="504">
        <f>Clumped_Raw!DS9</f>
        <v>0.29002754986632001</v>
      </c>
      <c r="L2" s="504">
        <f>Clumped_Raw!DS10</f>
        <v>6.6353656179855988E-2</v>
      </c>
      <c r="M2" s="504">
        <f>Clumped_Raw!DS11</f>
        <v>3.8309301257155731E-2</v>
      </c>
      <c r="N2" s="504">
        <f>Clumped_Raw!DT9</f>
        <v>13.032480950069063</v>
      </c>
      <c r="O2" s="504">
        <f>Clumped_Raw!DT10</f>
        <v>5.1964007517330346</v>
      </c>
      <c r="P2" s="504">
        <f>Clumped_Raw!DT11</f>
        <v>3.0001433728302414</v>
      </c>
      <c r="R2" s="507" t="s">
        <v>627</v>
      </c>
    </row>
    <row r="3" spans="1:18" x14ac:dyDescent="0.2">
      <c r="A3" s="502">
        <v>1650</v>
      </c>
      <c r="B3" s="501">
        <f>'[1]raw data analysis'!DP16</f>
        <v>-9.372778383</v>
      </c>
      <c r="C3" s="501">
        <f>'[1]raw data analysis'!DP17</f>
        <v>0.96132922648448804</v>
      </c>
      <c r="D3" s="501">
        <f>'[1]raw data analysis'!DP18</f>
        <v>0.48066461324224402</v>
      </c>
      <c r="E3" s="501">
        <f>'[1]raw data analysis'!DQ16</f>
        <v>-4.8736622050000005</v>
      </c>
      <c r="F3" s="501">
        <f>'[1]raw data analysis'!DQ17</f>
        <v>0.95514442368475105</v>
      </c>
      <c r="G3" s="501">
        <f>'[1]raw data analysis'!DQ18</f>
        <v>0.47757221184237553</v>
      </c>
      <c r="H3" s="501">
        <f>'[1]raw data analysis'!DR16</f>
        <v>0.65880055949999994</v>
      </c>
      <c r="I3" s="501">
        <f>'[1]raw data analysis'!DR17</f>
        <v>6.4656366218524917E-3</v>
      </c>
      <c r="J3" s="501">
        <f>'[1]raw data analysis'!DR18</f>
        <v>3.2328183109262458E-3</v>
      </c>
      <c r="K3" s="501">
        <f>'[1]raw data analysis'!DS16</f>
        <v>1.1977305535</v>
      </c>
      <c r="L3" s="501">
        <f>'[1]raw data analysis'!DS17</f>
        <v>0.71161771939965246</v>
      </c>
      <c r="M3" s="501">
        <f>'[1]raw data analysis'!DS18</f>
        <v>0.35580885969982623</v>
      </c>
      <c r="N3" s="434">
        <f>'[1]raw data analysis'!DT16</f>
        <v>11.645939936168702</v>
      </c>
      <c r="O3" s="434">
        <f>'[1]raw data analysis'!DT17</f>
        <v>1.9097934140519237</v>
      </c>
      <c r="P3" s="434">
        <f>'[1]raw data analysis'!DT18</f>
        <v>0.95489670702596186</v>
      </c>
    </row>
    <row r="4" spans="1:18" s="426" customFormat="1" x14ac:dyDescent="0.2">
      <c r="A4" s="502">
        <v>2210</v>
      </c>
      <c r="B4" s="501">
        <f>Clumped_Raw!DP36</f>
        <v>-7.522659968595554</v>
      </c>
      <c r="C4" s="501">
        <f>Clumped_Raw!DP37</f>
        <v>4.3288336969521585E-2</v>
      </c>
      <c r="D4" s="501">
        <f>Clumped_Raw!DP38</f>
        <v>2.4992533002124517E-2</v>
      </c>
      <c r="E4" s="501">
        <f>Clumped_Raw!DQ36</f>
        <v>-6.0748457185243465</v>
      </c>
      <c r="F4" s="501">
        <f>Clumped_Raw!DQ37</f>
        <v>7.1592426950738752E-2</v>
      </c>
      <c r="G4" s="501">
        <f>Clumped_Raw!DQ38</f>
        <v>4.1333906971947637E-2</v>
      </c>
      <c r="H4" s="501">
        <f>Clumped_Raw!DR36</f>
        <v>0.59614674314577565</v>
      </c>
      <c r="I4" s="501">
        <f>Clumped_Raw!DR37</f>
        <v>2.1361289779870653E-2</v>
      </c>
      <c r="J4" s="501">
        <f>Clumped_Raw!DR38</f>
        <v>1.2332946404645924E-2</v>
      </c>
      <c r="K4" s="501">
        <f>Clumped_Raw!DS36</f>
        <v>0.68500209417023028</v>
      </c>
      <c r="L4" s="501">
        <f>Clumped_Raw!DS37</f>
        <v>0.18020778711049273</v>
      </c>
      <c r="M4" s="501">
        <f>Clumped_Raw!DS38</f>
        <v>0.10404301439830976</v>
      </c>
      <c r="N4" s="501">
        <f>Clumped_Raw!DT36</f>
        <v>24.402488205498134</v>
      </c>
      <c r="O4" s="501">
        <f>Clumped_Raw!DT37</f>
        <v>7.3130478079647609</v>
      </c>
      <c r="P4" s="501">
        <f>Clumped_Raw!DT38</f>
        <v>4.2221901205250578</v>
      </c>
    </row>
    <row r="5" spans="1:18" x14ac:dyDescent="0.2">
      <c r="A5" s="505">
        <v>2520</v>
      </c>
      <c r="B5" s="504">
        <f>Clumped_Raw!DP45</f>
        <v>-7.8284368008120575</v>
      </c>
      <c r="C5" s="504">
        <f>Clumped_Raw!DP46</f>
        <v>3.4030558312342141E-2</v>
      </c>
      <c r="D5" s="504">
        <f>Clumped_Raw!DP47</f>
        <v>1.701527915617107E-2</v>
      </c>
      <c r="E5" s="504">
        <f>Clumped_Raw!DQ45</f>
        <v>-5.464213667782035</v>
      </c>
      <c r="F5" s="504">
        <f>Clumped_Raw!DQ46</f>
        <v>7.2101322672729562E-2</v>
      </c>
      <c r="G5" s="504">
        <f>Clumped_Raw!DQ47</f>
        <v>3.6050661336364781E-2</v>
      </c>
      <c r="H5" s="504">
        <f>Clumped_Raw!DR45</f>
        <v>0.61453211664968821</v>
      </c>
      <c r="I5" s="504">
        <f>Clumped_Raw!DR46</f>
        <v>2.1717949402963722E-2</v>
      </c>
      <c r="J5" s="504">
        <f>Clumped_Raw!DR47</f>
        <v>1.0858974701481861E-2</v>
      </c>
      <c r="K5" s="504">
        <f>Clumped_Raw!DS45</f>
        <v>0.2778051964932145</v>
      </c>
      <c r="L5" s="504">
        <f>Clumped_Raw!DS46</f>
        <v>7.0104273337780493E-2</v>
      </c>
      <c r="M5" s="504">
        <f>Clumped_Raw!DS47</f>
        <v>3.5052136668890246E-2</v>
      </c>
      <c r="N5" s="504">
        <f>Clumped_Raw!DT45</f>
        <v>18.409897824268256</v>
      </c>
      <c r="O5" s="504">
        <f>Clumped_Raw!DT46</f>
        <v>6.8217549133140558</v>
      </c>
      <c r="P5" s="504">
        <f>Clumped_Raw!DT47</f>
        <v>3.4108774566570279</v>
      </c>
    </row>
    <row r="6" spans="1:18" x14ac:dyDescent="0.2">
      <c r="A6" s="505">
        <v>3670</v>
      </c>
      <c r="B6" s="504">
        <f>Clumped_Raw!DP53</f>
        <v>-8.104086094944309</v>
      </c>
      <c r="C6" s="504">
        <f>Clumped_Raw!DP54</f>
        <v>5.5644455767430767E-2</v>
      </c>
      <c r="D6" s="504">
        <f>Clumped_Raw!DP55</f>
        <v>3.2126341516236376E-2</v>
      </c>
      <c r="E6" s="504">
        <f>Clumped_Raw!DQ53</f>
        <v>-6.5821954375700464</v>
      </c>
      <c r="F6" s="504">
        <f>Clumped_Raw!DQ54</f>
        <v>4.8183319285573262E-2</v>
      </c>
      <c r="G6" s="504">
        <f>Clumped_Raw!DQ55</f>
        <v>2.781865235997541E-2</v>
      </c>
      <c r="H6" s="504">
        <f>Clumped_Raw!DR53</f>
        <v>0.62790242518971795</v>
      </c>
      <c r="I6" s="504">
        <f>Clumped_Raw!DR54</f>
        <v>1.2678794785643273E-2</v>
      </c>
      <c r="J6" s="504">
        <f>Clumped_Raw!DR55</f>
        <v>7.3201055824911676E-3</v>
      </c>
      <c r="K6" s="504">
        <f>Clumped_Raw!DS53</f>
        <v>0.28542692171843165</v>
      </c>
      <c r="L6" s="504">
        <f>Clumped_Raw!DS54</f>
        <v>0.11372943138612748</v>
      </c>
      <c r="M6" s="504">
        <f>Clumped_Raw!DS55</f>
        <v>6.5661717825563778E-2</v>
      </c>
      <c r="N6" s="504">
        <f>Clumped_Raw!DT53</f>
        <v>14.14053938447436</v>
      </c>
      <c r="O6" s="504">
        <f>Clumped_Raw!DT54</f>
        <v>3.8293740600172055</v>
      </c>
      <c r="P6" s="504">
        <f>Clumped_Raw!DT55</f>
        <v>2.2108901443787037</v>
      </c>
    </row>
    <row r="7" spans="1:18" s="426" customFormat="1" x14ac:dyDescent="0.2">
      <c r="A7" s="502">
        <v>5020</v>
      </c>
      <c r="B7" s="501">
        <f>'[1]raw data analysis'!DP36</f>
        <v>-8.3535475813333342</v>
      </c>
      <c r="C7" s="501">
        <f>'[1]raw data analysis'!DP37</f>
        <v>2.4820431359763993E-2</v>
      </c>
      <c r="D7" s="501">
        <f>'[1]raw data analysis'!DP38</f>
        <v>1.2410215679881997E-2</v>
      </c>
      <c r="E7" s="501">
        <f>'[1]raw data analysis'!DQ36</f>
        <v>-6.5577331030000003</v>
      </c>
      <c r="F7" s="501">
        <f>'[1]raw data analysis'!DQ37</f>
        <v>8.7053456147617336E-2</v>
      </c>
      <c r="G7" s="501">
        <f>'[1]raw data analysis'!DQ38</f>
        <v>4.3526728073808668E-2</v>
      </c>
      <c r="H7" s="501">
        <f>'[1]raw data analysis'!DR36</f>
        <v>0.60678844133333332</v>
      </c>
      <c r="I7" s="501">
        <f>'[1]raw data analysis'!DR37</f>
        <v>1.2974536876548762E-2</v>
      </c>
      <c r="J7" s="501">
        <f>'[1]raw data analysis'!DR38</f>
        <v>6.4872684382743812E-3</v>
      </c>
      <c r="K7" s="501">
        <f>'[1]raw data analysis'!DS36</f>
        <v>0.39345038566666668</v>
      </c>
      <c r="L7" s="501">
        <f>'[1]raw data analysis'!DS37</f>
        <v>0.11598214344018773</v>
      </c>
      <c r="M7" s="501">
        <f>'[1]raw data analysis'!DS38</f>
        <v>5.7991071720093865E-2</v>
      </c>
      <c r="N7" s="434">
        <f>'[1]raw data analysis'!DT36</f>
        <v>20.769942498551263</v>
      </c>
      <c r="O7" s="434">
        <f>'[1]raw data analysis'!DT37</f>
        <v>4.176346943132363</v>
      </c>
      <c r="P7" s="506">
        <f>'[1]raw data analysis'!DT38</f>
        <v>2.0881734715661815</v>
      </c>
    </row>
    <row r="8" spans="1:18" x14ac:dyDescent="0.2">
      <c r="A8" s="502">
        <v>5130</v>
      </c>
      <c r="B8" s="501">
        <f>'[1]raw data analysis'!DP47</f>
        <v>-8.3418535550000001</v>
      </c>
      <c r="C8" s="501">
        <f>'[1]raw data analysis'!DP48</f>
        <v>1.585776193686601E-2</v>
      </c>
      <c r="D8" s="501">
        <f>'[1]raw data analysis'!DP49</f>
        <v>7.9288809684330049E-3</v>
      </c>
      <c r="E8" s="501">
        <f>'[1]raw data analysis'!DQ47</f>
        <v>-5.8044245019999998</v>
      </c>
      <c r="F8" s="501">
        <f>'[1]raw data analysis'!DQ48</f>
        <v>1.2534698062328675E-3</v>
      </c>
      <c r="G8" s="501">
        <f>'[1]raw data analysis'!DQ49</f>
        <v>6.2673490311643374E-4</v>
      </c>
      <c r="H8" s="501">
        <f>'[1]raw data analysis'!DR47</f>
        <v>0.62853814050000001</v>
      </c>
      <c r="I8" s="501">
        <f>'[1]raw data analysis'!DR48</f>
        <v>6.6858904846972232E-3</v>
      </c>
      <c r="J8" s="501">
        <f>'[1]raw data analysis'!DR49</f>
        <v>3.3429452423486116E-3</v>
      </c>
      <c r="K8" s="501">
        <f>'[1]raw data analysis'!DS47</f>
        <v>0.56459026000000001</v>
      </c>
      <c r="L8" s="501">
        <f>'[1]raw data analysis'!DS48</f>
        <v>0.30983381835536544</v>
      </c>
      <c r="M8" s="501">
        <f>'[1]raw data analysis'!DS49</f>
        <v>0.15491690917768272</v>
      </c>
      <c r="N8" s="434">
        <f>'[1]raw data analysis'!DT47</f>
        <v>13.907555357546158</v>
      </c>
      <c r="O8" s="434">
        <f>'[1]raw data analysis'!DT48</f>
        <v>2.0222642178165149</v>
      </c>
      <c r="P8" s="503">
        <f>'[1]raw data analysis'!DT49</f>
        <v>1.0111321089082574</v>
      </c>
    </row>
    <row r="9" spans="1:18" x14ac:dyDescent="0.2">
      <c r="A9" s="502">
        <v>5365</v>
      </c>
      <c r="B9" s="501">
        <f>'[1]raw data analysis'!DP58</f>
        <v>-8.9752284684999992</v>
      </c>
      <c r="C9" s="501">
        <f>'[1]raw data analysis'!DP59</f>
        <v>9.2523020201025919E-3</v>
      </c>
      <c r="D9" s="501">
        <f>'[1]raw data analysis'!DP60</f>
        <v>4.626151010051296E-3</v>
      </c>
      <c r="E9" s="501">
        <f>'[1]raw data analysis'!DQ58</f>
        <v>-5.7468283499999995</v>
      </c>
      <c r="F9" s="501">
        <f>'[1]raw data analysis'!DQ59</f>
        <v>3.9956263681406048E-2</v>
      </c>
      <c r="G9" s="501">
        <f>'[1]raw data analysis'!DQ60</f>
        <v>1.9978131840703024E-2</v>
      </c>
      <c r="H9" s="501">
        <f>'[1]raw data analysis'!DR58</f>
        <v>0.61907208600000008</v>
      </c>
      <c r="I9" s="501">
        <f>'[1]raw data analysis'!DR59</f>
        <v>6.204242579371631E-3</v>
      </c>
      <c r="J9" s="501">
        <f>'[1]raw data analysis'!DR60</f>
        <v>3.1021212896858155E-3</v>
      </c>
      <c r="K9" s="501">
        <f>'[1]raw data analysis'!DS58</f>
        <v>0.36021211250000001</v>
      </c>
      <c r="L9" s="501">
        <f>'[1]raw data analysis'!DS59</f>
        <v>0.1768303993495611</v>
      </c>
      <c r="M9" s="501">
        <f>'[1]raw data analysis'!DS60</f>
        <v>8.8415199674780551E-2</v>
      </c>
      <c r="N9" s="434">
        <f>'[1]raw data analysis'!DT58</f>
        <v>16.813100170540338</v>
      </c>
      <c r="O9" s="434">
        <f>'[1]raw data analysis'!DT59</f>
        <v>1.9341533157901307</v>
      </c>
      <c r="P9" s="503">
        <f>'[1]raw data analysis'!DT60</f>
        <v>0.96707665789506536</v>
      </c>
    </row>
    <row r="10" spans="1:18" x14ac:dyDescent="0.2">
      <c r="A10" s="505">
        <v>6690</v>
      </c>
      <c r="B10" s="504">
        <f>'[1]raw data analysis'!DP65</f>
        <v>-5.7281058469999993</v>
      </c>
      <c r="C10" s="504">
        <f>'[1]raw data analysis'!DP66</f>
        <v>6.8587822500793816E-2</v>
      </c>
      <c r="D10" s="504">
        <f>'[1]raw data analysis'!DP67</f>
        <v>3.4293911250396908E-2</v>
      </c>
      <c r="E10" s="504">
        <f>'[1]raw data analysis'!DQ65</f>
        <v>-5.646577612333334</v>
      </c>
      <c r="F10" s="504">
        <f>'[1]raw data analysis'!DQ66</f>
        <v>2.8744294118014845E-2</v>
      </c>
      <c r="G10" s="504">
        <f>'[1]raw data analysis'!DQ67</f>
        <v>1.4372147059007422E-2</v>
      </c>
      <c r="H10" s="504">
        <f>'[1]raw data analysis'!DR65</f>
        <v>0.66581926400000002</v>
      </c>
      <c r="I10" s="504">
        <f>'[1]raw data analysis'!DR66</f>
        <v>1.3574856389980107E-2</v>
      </c>
      <c r="J10" s="504">
        <f>'[1]raw data analysis'!DR67</f>
        <v>6.7874281949900535E-3</v>
      </c>
      <c r="K10" s="504">
        <f>'[1]raw data analysis'!DS65</f>
        <v>0.66617272666666671</v>
      </c>
      <c r="L10" s="504">
        <f>'[1]raw data analysis'!DS66</f>
        <v>3.0214801584560479E-2</v>
      </c>
      <c r="M10" s="504">
        <f>'[1]raw data analysis'!DS67</f>
        <v>1.510740079228024E-2</v>
      </c>
      <c r="N10" s="427">
        <f>'[1]raw data analysis'!DT65</f>
        <v>3.2939171658659916</v>
      </c>
      <c r="O10" s="427">
        <f>'[1]raw data analysis'!DT66</f>
        <v>3.6915214205991225</v>
      </c>
      <c r="P10" s="503">
        <f>'[1]raw data analysis'!DT67</f>
        <v>1.8457607102995612</v>
      </c>
    </row>
    <row r="11" spans="1:18" x14ac:dyDescent="0.2">
      <c r="A11" s="502">
        <v>7170</v>
      </c>
      <c r="B11" s="501">
        <f>'[1]raw data analysis'!DP76</f>
        <v>-8.5125510089999992</v>
      </c>
      <c r="C11" s="501">
        <f>'[1]raw data analysis'!DP77</f>
        <v>4.3039723008912482E-3</v>
      </c>
      <c r="D11" s="501">
        <f>'[1]raw data analysis'!DP78</f>
        <v>2.1519861504456241E-3</v>
      </c>
      <c r="E11" s="501">
        <f>'[1]raw data analysis'!DQ76</f>
        <v>-5.2807279245000007</v>
      </c>
      <c r="F11" s="501">
        <f>'[1]raw data analysis'!DQ77</f>
        <v>2.6212241196298201E-2</v>
      </c>
      <c r="G11" s="501">
        <f>'[1]raw data analysis'!DQ78</f>
        <v>1.31061205981491E-2</v>
      </c>
      <c r="H11" s="501">
        <f>'[1]raw data analysis'!DR76</f>
        <v>0.62900080899999999</v>
      </c>
      <c r="I11" s="501">
        <f>'[1]raw data analysis'!DR77</f>
        <v>2.2013028886359323E-2</v>
      </c>
      <c r="J11" s="501">
        <f>'[1]raw data analysis'!DR78</f>
        <v>1.1006514443179662E-2</v>
      </c>
      <c r="K11" s="501">
        <f>'[1]raw data analysis'!DS76</f>
        <v>0.50091294750000004</v>
      </c>
      <c r="L11" s="501">
        <f>'[1]raw data analysis'!DS77</f>
        <v>8.7706639435605166E-2</v>
      </c>
      <c r="M11" s="501">
        <f>'[1]raw data analysis'!DS78</f>
        <v>4.3853319717802583E-2</v>
      </c>
      <c r="N11" s="434">
        <f>'[1]raw data analysis'!DT76</f>
        <v>13.872664930944268</v>
      </c>
      <c r="O11" s="434">
        <f>'[1]raw data analysis'!DT77</f>
        <v>6.6525521696003018</v>
      </c>
      <c r="P11" s="503">
        <f>'[1]raw data analysis'!DT78</f>
        <v>3.3262760848001509</v>
      </c>
    </row>
    <row r="12" spans="1:18" x14ac:dyDescent="0.2">
      <c r="A12" s="502">
        <v>7770</v>
      </c>
      <c r="B12" s="501">
        <f>'[1]raw data analysis'!DP87</f>
        <v>-8.2289867690000005</v>
      </c>
      <c r="C12" s="501">
        <f>'[1]raw data analysis'!DP88</f>
        <v>1.0434897806549562E-2</v>
      </c>
      <c r="D12" s="501">
        <f>'[1]raw data analysis'!DP89</f>
        <v>5.2174489032747809E-3</v>
      </c>
      <c r="E12" s="501">
        <f>'[1]raw data analysis'!DQ87</f>
        <v>-5.2672073680000002</v>
      </c>
      <c r="F12" s="501">
        <f>'[1]raw data analysis'!DQ88</f>
        <v>1.8916683244861909E-2</v>
      </c>
      <c r="G12" s="501">
        <f>'[1]raw data analysis'!DQ89</f>
        <v>9.4583416224309543E-3</v>
      </c>
      <c r="H12" s="501">
        <f>'[1]raw data analysis'!DR87</f>
        <v>0.61653015799999999</v>
      </c>
      <c r="I12" s="501">
        <f>'[1]raw data analysis'!DR88</f>
        <v>1.0949674371680771E-2</v>
      </c>
      <c r="J12" s="501">
        <f>'[1]raw data analysis'!DR89</f>
        <v>5.4748371858403854E-3</v>
      </c>
      <c r="K12" s="501">
        <f>'[1]raw data analysis'!DS87</f>
        <v>0.50118701649999997</v>
      </c>
      <c r="L12" s="501">
        <f>'[1]raw data analysis'!DS88</f>
        <v>0.11024448721760217</v>
      </c>
      <c r="M12" s="501">
        <f>'[1]raw data analysis'!DS89</f>
        <v>5.5122243608801087E-2</v>
      </c>
      <c r="N12" s="434">
        <f>'[1]raw data analysis'!DT87</f>
        <v>17.629639758380506</v>
      </c>
      <c r="O12" s="434">
        <f>'[1]raw data analysis'!DT88</f>
        <v>3.4421165766469644</v>
      </c>
      <c r="P12" s="503">
        <f>'[1]raw data analysis'!DT89</f>
        <v>1.7210582883234822</v>
      </c>
    </row>
    <row r="13" spans="1:18" x14ac:dyDescent="0.2">
      <c r="A13" s="505">
        <v>7810</v>
      </c>
      <c r="B13" s="504">
        <f>'[1]raw data analysis'!DP94</f>
        <v>-8.3020007756666647</v>
      </c>
      <c r="C13" s="504">
        <f>'[1]raw data analysis'!DP95</f>
        <v>3.3793243693244511E-2</v>
      </c>
      <c r="D13" s="504">
        <f>'[1]raw data analysis'!DP96</f>
        <v>1.6896621846622255E-2</v>
      </c>
      <c r="E13" s="504">
        <f>'[1]raw data analysis'!DQ94</f>
        <v>-5.8593444766666662</v>
      </c>
      <c r="F13" s="504">
        <f>'[1]raw data analysis'!DQ95</f>
        <v>7.8444645101774138E-2</v>
      </c>
      <c r="G13" s="504">
        <f>'[1]raw data analysis'!DQ96</f>
        <v>3.9222322550887069E-2</v>
      </c>
      <c r="H13" s="504">
        <f>'[1]raw data analysis'!DR94</f>
        <v>0.66142838999999998</v>
      </c>
      <c r="I13" s="504">
        <f>'[1]raw data analysis'!DR95</f>
        <v>1.6722769206466627E-2</v>
      </c>
      <c r="J13" s="504">
        <f>'[1]raw data analysis'!DR96</f>
        <v>8.3613846032333135E-3</v>
      </c>
      <c r="K13" s="504">
        <f>'[1]raw data analysis'!DS94</f>
        <v>0.43961079400000003</v>
      </c>
      <c r="L13" s="504">
        <f>'[1]raw data analysis'!DS95</f>
        <v>0.21707553731897322</v>
      </c>
      <c r="M13" s="504">
        <f>'[1]raw data analysis'!DS96</f>
        <v>0.10853776865948661</v>
      </c>
      <c r="N13" s="427">
        <f>'[1]raw data analysis'!DT94</f>
        <v>4.5126437789767424</v>
      </c>
      <c r="O13" s="427">
        <f>'[1]raw data analysis'!DT95</f>
        <v>4.5235147118846806</v>
      </c>
      <c r="P13" s="503">
        <f>'[1]raw data analysis'!DT96</f>
        <v>2.2617573559423403</v>
      </c>
    </row>
    <row r="14" spans="1:18" x14ac:dyDescent="0.2">
      <c r="A14" s="505">
        <v>8170</v>
      </c>
      <c r="B14" s="504">
        <f>'[1]raw data analysis'!DP101</f>
        <v>-8.5061436716666652</v>
      </c>
      <c r="C14" s="504">
        <f>'[1]raw data analysis'!DP102</f>
        <v>1.3253954498405787E-2</v>
      </c>
      <c r="D14" s="504">
        <f>'[1]raw data analysis'!DP103</f>
        <v>6.6269772492028936E-3</v>
      </c>
      <c r="E14" s="504">
        <f>'[1]raw data analysis'!DQ101</f>
        <v>-5.6291681433333336</v>
      </c>
      <c r="F14" s="504">
        <f>'[1]raw data analysis'!DQ102</f>
        <v>3.9874623918926842E-2</v>
      </c>
      <c r="G14" s="504">
        <f>'[1]raw data analysis'!DQ103</f>
        <v>1.9937311959463421E-2</v>
      </c>
      <c r="H14" s="504">
        <f>'[1]raw data analysis'!DR101</f>
        <v>0.63354470600000001</v>
      </c>
      <c r="I14" s="504">
        <f>'[1]raw data analysis'!DR102</f>
        <v>1.3409931971620114E-2</v>
      </c>
      <c r="J14" s="504">
        <f>'[1]raw data analysis'!DR103</f>
        <v>6.7049659858100571E-3</v>
      </c>
      <c r="K14" s="504">
        <f>'[1]raw data analysis'!DS101</f>
        <v>0.33947975466666663</v>
      </c>
      <c r="L14" s="504">
        <f>'[1]raw data analysis'!DS102</f>
        <v>0.12285732286351089</v>
      </c>
      <c r="M14" s="504">
        <f>'[1]raw data analysis'!DS103</f>
        <v>6.1428661431755446E-2</v>
      </c>
      <c r="N14" s="427">
        <f>'[1]raw data analysis'!DT101</f>
        <v>12.451038840750167</v>
      </c>
      <c r="O14" s="427">
        <f>'[1]raw data analysis'!DT102</f>
        <v>4.0373233484041888</v>
      </c>
      <c r="P14" s="503">
        <f>'[1]raw data analysis'!DT103</f>
        <v>2.0186616742020944</v>
      </c>
    </row>
    <row r="15" spans="1:18" s="426" customFormat="1" x14ac:dyDescent="0.2">
      <c r="A15" s="537">
        <v>8460</v>
      </c>
      <c r="B15" s="504">
        <f>Clumped_Raw!DP138</f>
        <v>-8.5943137060650585</v>
      </c>
      <c r="C15" s="504">
        <f>Clumped_Raw!DP139</f>
        <v>1.959937353688582E-2</v>
      </c>
      <c r="D15" s="504">
        <f>Clumped_Raw!DP140</f>
        <v>1.385884993494013E-2</v>
      </c>
      <c r="E15" s="504">
        <f>Clumped_Raw!DQ138</f>
        <v>-5.6683036076245497</v>
      </c>
      <c r="F15" s="504">
        <f>Clumped_Raw!DQ139</f>
        <v>0.13907259446661488</v>
      </c>
      <c r="G15" s="504">
        <f>Clumped_Raw!DQ140</f>
        <v>9.8339174624550107E-2</v>
      </c>
      <c r="H15" s="504">
        <f>Clumped_Raw!DR138</f>
        <v>0.66045723821653046</v>
      </c>
      <c r="I15" s="504">
        <f>Clumped_Raw!DR139</f>
        <v>2.7789230338814277E-2</v>
      </c>
      <c r="J15" s="504">
        <f>Clumped_Raw!DR140</f>
        <v>1.9649953216530514E-2</v>
      </c>
      <c r="K15" s="504">
        <f>Clumped_Raw!DS138</f>
        <v>0.58647494905871</v>
      </c>
      <c r="L15" s="504">
        <f>Clumped_Raw!DS139</f>
        <v>0.14772560501177245</v>
      </c>
      <c r="M15" s="504">
        <f>Clumped_Raw!DS140</f>
        <v>0.10445777705870972</v>
      </c>
      <c r="N15" s="504">
        <f>Clumped_Raw!DT138</f>
        <v>4.8612366404932175</v>
      </c>
      <c r="O15" s="504">
        <f>Clumped_Raw!DT139</f>
        <v>7.6300893505669674</v>
      </c>
      <c r="P15" s="504">
        <f>Clumped_Raw!DT140</f>
        <v>1.9532139348477635</v>
      </c>
      <c r="Q15" s="426" t="s">
        <v>610</v>
      </c>
      <c r="R15" s="426" t="s">
        <v>609</v>
      </c>
    </row>
    <row r="16" spans="1:18" s="553" customFormat="1" ht="17" thickBot="1" x14ac:dyDescent="0.25">
      <c r="A16" s="562">
        <v>8515</v>
      </c>
      <c r="B16" s="565">
        <f>Clumped_Raw!DP143</f>
        <v>-9.0784086487696403</v>
      </c>
      <c r="C16" s="565">
        <f>Clumped_Raw!DP144</f>
        <v>2.4133513755481315E-2</v>
      </c>
      <c r="D16" s="565">
        <f>Clumped_Raw!DP145</f>
        <v>1.706497123035966E-2</v>
      </c>
      <c r="E16" s="565">
        <f>Clumped_Raw!DQ143</f>
        <v>-5.0185485151955653</v>
      </c>
      <c r="F16" s="565">
        <f>Clumped_Raw!DQ144</f>
        <v>0.12368200267812544</v>
      </c>
      <c r="G16" s="565">
        <f>Clumped_Raw!DQ145</f>
        <v>8.7456382804435226E-2</v>
      </c>
      <c r="H16" s="565">
        <f>Clumped_Raw!DR143</f>
        <v>0.70697554299998444</v>
      </c>
      <c r="I16" s="565">
        <f>Clumped_Raw!DR144</f>
        <v>2.1824801303826136E-2</v>
      </c>
      <c r="J16" s="565">
        <f>Clumped_Raw!DR145</f>
        <v>1.5432464999984463E-2</v>
      </c>
      <c r="K16" s="565">
        <f>Clumped_Raw!DS143</f>
        <v>0.58581040942232854</v>
      </c>
      <c r="L16" s="565">
        <f>Clumped_Raw!DS144</f>
        <v>0.34060741012578261</v>
      </c>
      <c r="M16" s="565">
        <f>Clumped_Raw!DS145</f>
        <v>0.24084580942232839</v>
      </c>
      <c r="N16" s="565">
        <f>Clumped_Raw!DT143</f>
        <v>-7.1618335991728657</v>
      </c>
      <c r="O16" s="565">
        <f>Clumped_Raw!DT144</f>
        <v>5.2500239302683509</v>
      </c>
      <c r="P16" s="565">
        <f>Clumped_Raw!DT145</f>
        <v>3.7123275224844008</v>
      </c>
      <c r="Q16" s="553" t="s">
        <v>610</v>
      </c>
      <c r="R16" s="553" t="s">
        <v>609</v>
      </c>
    </row>
    <row r="19" spans="1:18" ht="17" thickBot="1" x14ac:dyDescent="0.25"/>
    <row r="20" spans="1:18" x14ac:dyDescent="0.2">
      <c r="A20" s="510" t="s">
        <v>411</v>
      </c>
      <c r="B20" s="509" t="s">
        <v>626</v>
      </c>
      <c r="C20" s="509" t="s">
        <v>625</v>
      </c>
      <c r="D20" s="509" t="s">
        <v>624</v>
      </c>
      <c r="E20" s="509" t="s">
        <v>623</v>
      </c>
      <c r="F20" s="509" t="s">
        <v>622</v>
      </c>
      <c r="G20" s="509" t="s">
        <v>621</v>
      </c>
      <c r="H20" s="509" t="s">
        <v>620</v>
      </c>
      <c r="I20" s="509" t="s">
        <v>619</v>
      </c>
      <c r="J20" s="509" t="s">
        <v>618</v>
      </c>
      <c r="K20" s="509" t="s">
        <v>617</v>
      </c>
      <c r="L20" s="509" t="s">
        <v>616</v>
      </c>
      <c r="M20" s="509" t="s">
        <v>615</v>
      </c>
      <c r="N20" s="509" t="s">
        <v>614</v>
      </c>
      <c r="O20" s="509" t="s">
        <v>613</v>
      </c>
      <c r="P20" s="508" t="s">
        <v>612</v>
      </c>
      <c r="R20" s="507" t="s">
        <v>611</v>
      </c>
    </row>
    <row r="21" spans="1:18" x14ac:dyDescent="0.2">
      <c r="A21" s="505">
        <v>1530</v>
      </c>
      <c r="B21" s="504">
        <f>Clumped_Raw!DP13</f>
        <v>-7.9150393609019956</v>
      </c>
      <c r="C21" s="504">
        <f>Clumped_Raw!DP14</f>
        <v>0.26690992472981812</v>
      </c>
      <c r="D21" s="504">
        <f>Clumped_Raw!DP15</f>
        <v>0.13345496236490906</v>
      </c>
      <c r="E21" s="504">
        <f>Clumped_Raw!DQ13</f>
        <v>-6.1388532061608769</v>
      </c>
      <c r="F21" s="504">
        <f>Clumped_Raw!DQ14</f>
        <v>0.11040788988229633</v>
      </c>
      <c r="G21" s="504">
        <f>Clumped_Raw!DQ15</f>
        <v>5.5203944941148164E-2</v>
      </c>
      <c r="H21" s="504">
        <f>Clumped_Raw!DR13</f>
        <v>0.63780323798480232</v>
      </c>
      <c r="I21" s="504">
        <f>Clumped_Raw!DR14</f>
        <v>1.8512574143071871E-2</v>
      </c>
      <c r="J21" s="504">
        <f>Clumped_Raw!DR15</f>
        <v>9.2562870715359354E-3</v>
      </c>
      <c r="K21" s="504">
        <f>Clumped_Raw!DS13</f>
        <v>0.31135558675946551</v>
      </c>
      <c r="L21" s="504">
        <f>Clumped_Raw!DS14</f>
        <v>6.8954664501283222E-2</v>
      </c>
      <c r="M21" s="504">
        <f>Clumped_Raw!DS15</f>
        <v>3.4477332250641611E-2</v>
      </c>
      <c r="N21" s="504">
        <f>Clumped_Raw!DT13</f>
        <v>11.254404586324256</v>
      </c>
      <c r="O21" s="504">
        <f>Clumped_Raw!DT14</f>
        <v>5.5360584115692166</v>
      </c>
      <c r="P21" s="504">
        <f>Clumped_Raw!DT15</f>
        <v>2.7680292057846083</v>
      </c>
    </row>
    <row r="22" spans="1:18" s="426" customFormat="1" x14ac:dyDescent="0.2">
      <c r="A22" s="502">
        <v>1650</v>
      </c>
      <c r="B22" s="501">
        <f>'[1]raw data analysis'!DP12</f>
        <v>-8.9211218890000001</v>
      </c>
      <c r="C22" s="501">
        <f>'[1]raw data analysis'!DP13</f>
        <v>0.78230525813937668</v>
      </c>
      <c r="D22" s="501">
        <f>'[1]raw data analysis'!DP14</f>
        <v>0.39115262906968834</v>
      </c>
      <c r="E22" s="501">
        <f>'[1]raw data analysis'!DQ12</f>
        <v>-5.3064248279999999</v>
      </c>
      <c r="F22" s="501">
        <f>'[1]raw data analysis'!DQ13</f>
        <v>0.75140248750989014</v>
      </c>
      <c r="G22" s="501">
        <f>'[1]raw data analysis'!DQ14</f>
        <v>0.37570124375494507</v>
      </c>
      <c r="H22" s="501">
        <f>'[1]raw data analysis'!DR12</f>
        <v>0.65275816466666658</v>
      </c>
      <c r="I22" s="501">
        <f>'[1]raw data analysis'!DR13</f>
        <v>2.9210232978996904E-2</v>
      </c>
      <c r="J22" s="501">
        <f>'[1]raw data analysis'!DR14</f>
        <v>1.4605116489498452E-2</v>
      </c>
      <c r="K22" s="501">
        <f>'[1]raw data analysis'!DS12</f>
        <v>0.98941446066666661</v>
      </c>
      <c r="L22" s="501">
        <f>'[1]raw data analysis'!DS13</f>
        <v>0.52504905193196361</v>
      </c>
      <c r="M22" s="501">
        <f>'[1]raw data analysis'!DS14</f>
        <v>0.2625245259659818</v>
      </c>
      <c r="N22" s="434">
        <f>'[1]raw data analysis'!DT12</f>
        <v>7.0751852397594348</v>
      </c>
      <c r="O22" s="434">
        <f>'[1]raw data analysis'!DT13</f>
        <v>8.0311301151469454</v>
      </c>
      <c r="P22" s="506">
        <f>'[1]raw data analysis'!DT14</f>
        <v>4.0155650575734727</v>
      </c>
    </row>
    <row r="23" spans="1:18" s="426" customFormat="1" x14ac:dyDescent="0.2">
      <c r="A23" s="502">
        <v>2210</v>
      </c>
      <c r="B23" s="501">
        <f>Clumped_Raw!DP32</f>
        <v>-7.5247615215800856</v>
      </c>
      <c r="C23" s="501">
        <f>Clumped_Raw!DP33</f>
        <v>3.5593812826272754E-2</v>
      </c>
      <c r="D23" s="501">
        <f>Clumped_Raw!DP34</f>
        <v>1.7796906413136377E-2</v>
      </c>
      <c r="E23" s="501">
        <f>Clumped_Raw!DQ32</f>
        <v>-6.0933109569927222</v>
      </c>
      <c r="F23" s="501">
        <f>Clumped_Raw!DQ33</f>
        <v>6.9143646547656035E-2</v>
      </c>
      <c r="G23" s="501">
        <f>Clumped_Raw!DQ34</f>
        <v>3.4571823273828017E-2</v>
      </c>
      <c r="H23" s="501">
        <f>Clumped_Raw!DR32</f>
        <v>0.60809502004350269</v>
      </c>
      <c r="I23" s="501">
        <f>Clumped_Raw!DR33</f>
        <v>2.9584597636925426E-2</v>
      </c>
      <c r="J23" s="501">
        <f>Clumped_Raw!DR34</f>
        <v>1.4792298818462713E-2</v>
      </c>
      <c r="K23" s="501">
        <f>Clumped_Raw!DS32</f>
        <v>0.77547020248373766</v>
      </c>
      <c r="L23" s="501">
        <f>Clumped_Raw!DS33</f>
        <v>0.23321194690125113</v>
      </c>
      <c r="M23" s="501">
        <f>Clumped_Raw!DS34</f>
        <v>0.11660597345062557</v>
      </c>
      <c r="N23" s="501">
        <f>Clumped_Raw!DT32</f>
        <v>20.639129342234796</v>
      </c>
      <c r="O23" s="501">
        <f>Clumped_Raw!DT33</f>
        <v>8.320393255243248</v>
      </c>
      <c r="P23" s="501">
        <f>Clumped_Raw!DT34</f>
        <v>4.160196627621624</v>
      </c>
    </row>
    <row r="24" spans="1:18" x14ac:dyDescent="0.2">
      <c r="A24" s="505">
        <v>2520</v>
      </c>
      <c r="B24" s="504">
        <v>-7.8284368008120575</v>
      </c>
      <c r="C24" s="504">
        <v>3.4030558312342141E-2</v>
      </c>
      <c r="D24" s="504">
        <v>1.701527915617107E-2</v>
      </c>
      <c r="E24" s="504">
        <v>-5.464213667782035</v>
      </c>
      <c r="F24" s="504">
        <v>7.2101322672729562E-2</v>
      </c>
      <c r="G24" s="504">
        <v>3.6050661336364781E-2</v>
      </c>
      <c r="H24" s="504">
        <v>0.61453211664968821</v>
      </c>
      <c r="I24" s="504">
        <v>2.1717949402963722E-2</v>
      </c>
      <c r="J24" s="504">
        <v>1.0858974701481861E-2</v>
      </c>
      <c r="K24" s="504">
        <v>0.2778051964932145</v>
      </c>
      <c r="L24" s="504">
        <v>7.0104273337780493E-2</v>
      </c>
      <c r="M24" s="504">
        <v>3.5052136668890246E-2</v>
      </c>
      <c r="N24" s="504">
        <v>18.409897824268256</v>
      </c>
      <c r="O24" s="504">
        <v>6.8217549133140558</v>
      </c>
      <c r="P24" s="504">
        <v>3.4108774566570279</v>
      </c>
    </row>
    <row r="25" spans="1:18" x14ac:dyDescent="0.2">
      <c r="A25" s="505">
        <v>3670</v>
      </c>
      <c r="B25" s="504">
        <v>-8.104086094944309</v>
      </c>
      <c r="C25" s="504">
        <v>5.5644455767430767E-2</v>
      </c>
      <c r="D25" s="504">
        <v>3.2126341516236376E-2</v>
      </c>
      <c r="E25" s="504">
        <v>-6.5821954375700464</v>
      </c>
      <c r="F25" s="504">
        <v>4.8183319285573262E-2</v>
      </c>
      <c r="G25" s="504">
        <v>2.781865235997541E-2</v>
      </c>
      <c r="H25" s="504">
        <v>0.62790242518971795</v>
      </c>
      <c r="I25" s="504">
        <v>1.2678794785643273E-2</v>
      </c>
      <c r="J25" s="504">
        <v>7.3201055824911676E-3</v>
      </c>
      <c r="K25" s="504">
        <v>0.28542692171843165</v>
      </c>
      <c r="L25" s="504">
        <v>0.11372943138612748</v>
      </c>
      <c r="M25" s="504">
        <v>6.5661717825563778E-2</v>
      </c>
      <c r="N25" s="504">
        <v>14.14053938447436</v>
      </c>
      <c r="O25" s="504">
        <v>3.8293740600172055</v>
      </c>
      <c r="P25" s="504">
        <v>2.2108901443787037</v>
      </c>
    </row>
    <row r="26" spans="1:18" s="426" customFormat="1" x14ac:dyDescent="0.2">
      <c r="A26" s="502">
        <v>5020</v>
      </c>
      <c r="B26" s="501">
        <f>Clumped_Raw!DP65</f>
        <v>-8.3582798851586233</v>
      </c>
      <c r="C26" s="501">
        <f>Clumped_Raw!DP66</f>
        <v>2.2366969841768013E-2</v>
      </c>
      <c r="D26" s="501">
        <f>Clumped_Raw!DP67</f>
        <v>1.1183484920884007E-2</v>
      </c>
      <c r="E26" s="501">
        <f>Clumped_Raw!DQ65</f>
        <v>-6.5521315733860179</v>
      </c>
      <c r="F26" s="501">
        <f>Clumped_Raw!DQ66</f>
        <v>7.1956315596538978E-2</v>
      </c>
      <c r="G26" s="501">
        <f>Clumped_Raw!DQ67</f>
        <v>3.5978157798269489E-2</v>
      </c>
      <c r="H26" s="501">
        <f>Clumped_Raw!DR65</f>
        <v>0.61688092945411799</v>
      </c>
      <c r="I26" s="501">
        <f>Clumped_Raw!DR66</f>
        <v>2.2796030443478558E-2</v>
      </c>
      <c r="J26" s="501">
        <f>Clumped_Raw!DR67</f>
        <v>1.1398015221739279E-2</v>
      </c>
      <c r="K26" s="501">
        <f>Clumped_Raw!DS65</f>
        <v>0.34483170316891298</v>
      </c>
      <c r="L26" s="501">
        <f>Clumped_Raw!DS66</f>
        <v>0.13573138994323705</v>
      </c>
      <c r="M26" s="501">
        <f>Clumped_Raw!DS67</f>
        <v>6.7865694971618526E-2</v>
      </c>
      <c r="N26" s="501">
        <f>Clumped_Raw!DT65</f>
        <v>17.683880500831847</v>
      </c>
      <c r="O26" s="501">
        <f>Clumped_Raw!DT66</f>
        <v>7.0514559117021438</v>
      </c>
      <c r="P26" s="501">
        <f>Clumped_Raw!DT67</f>
        <v>3.5257279558510719</v>
      </c>
    </row>
    <row r="27" spans="1:18" x14ac:dyDescent="0.2">
      <c r="A27" s="502">
        <v>5130</v>
      </c>
      <c r="B27" s="501">
        <f>'[1]raw data analysis'!DP43</f>
        <v>-8.3418535550000001</v>
      </c>
      <c r="C27" s="501">
        <f>'[1]raw data analysis'!DP44</f>
        <v>2.7279728575045317E-2</v>
      </c>
      <c r="D27" s="501">
        <f>'[1]raw data analysis'!DP45</f>
        <v>1.3639864287522658E-2</v>
      </c>
      <c r="E27" s="501">
        <f>'[1]raw data analysis'!DQ43</f>
        <v>-5.8044245019999998</v>
      </c>
      <c r="F27" s="501">
        <f>'[1]raw data analysis'!DQ44</f>
        <v>0.11896094977695947</v>
      </c>
      <c r="G27" s="501">
        <f>'[1]raw data analysis'!DQ45</f>
        <v>5.9480474888479733E-2</v>
      </c>
      <c r="H27" s="501">
        <f>'[1]raw data analysis'!DR43</f>
        <v>0.62853814050000001</v>
      </c>
      <c r="I27" s="501">
        <f>'[1]raw data analysis'!DR44</f>
        <v>2.7180098415639554E-2</v>
      </c>
      <c r="J27" s="501">
        <f>'[1]raw data analysis'!DR45</f>
        <v>1.3590049207819777E-2</v>
      </c>
      <c r="K27" s="501">
        <f>'[1]raw data analysis'!DS43</f>
        <v>0.56459026000000001</v>
      </c>
      <c r="L27" s="501">
        <f>'[1]raw data analysis'!DS44</f>
        <v>0.23310282522563788</v>
      </c>
      <c r="M27" s="501">
        <f>'[1]raw data analysis'!DS45</f>
        <v>0.11655141261281894</v>
      </c>
      <c r="N27" s="434">
        <f>'[1]raw data analysis'!DT43</f>
        <v>18.950750474960291</v>
      </c>
      <c r="O27" s="434">
        <f>'[1]raw data analysis'!DT44</f>
        <v>8.8513404216683398</v>
      </c>
      <c r="P27" s="503">
        <f>'[1]raw data analysis'!DT45</f>
        <v>4.4256702108341699</v>
      </c>
    </row>
    <row r="28" spans="1:18" x14ac:dyDescent="0.2">
      <c r="A28" s="502">
        <v>5365</v>
      </c>
      <c r="B28" s="501">
        <f>'[1]raw data analysis'!DP54</f>
        <v>-8.865690128333334</v>
      </c>
      <c r="C28" s="501">
        <f>'[1]raw data analysis'!DP55</f>
        <v>0.18983873800081147</v>
      </c>
      <c r="D28" s="501">
        <f>'[1]raw data analysis'!DP56</f>
        <v>9.4919369000405734E-2</v>
      </c>
      <c r="E28" s="501">
        <f>'[1]raw data analysis'!DQ54</f>
        <v>-5.8130544260000008</v>
      </c>
      <c r="F28" s="501">
        <f>'[1]raw data analysis'!DQ55</f>
        <v>0.11813522307407871</v>
      </c>
      <c r="G28" s="501">
        <f>'[1]raw data analysis'!DQ56</f>
        <v>5.9067611537039356E-2</v>
      </c>
      <c r="H28" s="501">
        <f>'[1]raw data analysis'!DR54</f>
        <v>0.60000177666666665</v>
      </c>
      <c r="I28" s="501">
        <f>'[1]raw data analysis'!DR55</f>
        <v>3.3320810422300735E-2</v>
      </c>
      <c r="J28" s="501">
        <f>'[1]raw data analysis'!DR56</f>
        <v>1.6660405211150368E-2</v>
      </c>
      <c r="K28" s="501">
        <f>'[1]raw data analysis'!DS54</f>
        <v>0.33264831833333336</v>
      </c>
      <c r="L28" s="501">
        <f>'[1]raw data analysis'!DS55</f>
        <v>0.13384238235196563</v>
      </c>
      <c r="M28" s="501">
        <f>'[1]raw data analysis'!DS56</f>
        <v>6.6921191175982817E-2</v>
      </c>
      <c r="N28" s="434">
        <f>'[1]raw data analysis'!DT54</f>
        <v>23.36616019547057</v>
      </c>
      <c r="O28" s="434">
        <f>'[1]raw data analysis'!DT55</f>
        <v>11.432334039709772</v>
      </c>
      <c r="P28" s="503">
        <f>'[1]raw data analysis'!DT56</f>
        <v>5.7161670198548862</v>
      </c>
    </row>
    <row r="29" spans="1:18" x14ac:dyDescent="0.2">
      <c r="A29" s="505">
        <v>6690</v>
      </c>
      <c r="B29" s="504">
        <v>-5.7281058469999993</v>
      </c>
      <c r="C29" s="504">
        <v>6.8587822500793816E-2</v>
      </c>
      <c r="D29" s="504">
        <v>3.4293911250396908E-2</v>
      </c>
      <c r="E29" s="504">
        <v>-5.646577612333334</v>
      </c>
      <c r="F29" s="504">
        <v>2.8744294118014845E-2</v>
      </c>
      <c r="G29" s="504">
        <v>1.4372147059007422E-2</v>
      </c>
      <c r="H29" s="504">
        <v>0.66581926400000002</v>
      </c>
      <c r="I29" s="504">
        <v>1.3574856389980107E-2</v>
      </c>
      <c r="J29" s="504">
        <v>6.7874281949900535E-3</v>
      </c>
      <c r="K29" s="504">
        <v>0.66617272666666671</v>
      </c>
      <c r="L29" s="504">
        <v>3.0214801584560479E-2</v>
      </c>
      <c r="M29" s="504">
        <v>1.510740079228024E-2</v>
      </c>
      <c r="N29" s="427">
        <v>3.2939171658659916</v>
      </c>
      <c r="O29" s="427">
        <v>3.6915214205991225</v>
      </c>
      <c r="P29" s="503">
        <v>1.8457607102995612</v>
      </c>
    </row>
    <row r="30" spans="1:18" x14ac:dyDescent="0.2">
      <c r="A30" s="502">
        <v>7170</v>
      </c>
      <c r="B30" s="501">
        <f>'[1]raw data analysis'!DP72</f>
        <v>-8.489709972</v>
      </c>
      <c r="C30" s="501">
        <f>'[1]raw data analysis'!DP73</f>
        <v>3.9678722289024568E-2</v>
      </c>
      <c r="D30" s="501">
        <f>'[1]raw data analysis'!DP74</f>
        <v>1.9839361144512284E-2</v>
      </c>
      <c r="E30" s="501">
        <f>'[1]raw data analysis'!DQ72</f>
        <v>-5.248019230333334</v>
      </c>
      <c r="F30" s="501">
        <f>'[1]raw data analysis'!DQ73</f>
        <v>5.9608026443861151E-2</v>
      </c>
      <c r="G30" s="501">
        <f>'[1]raw data analysis'!DQ74</f>
        <v>2.9804013221930575E-2</v>
      </c>
      <c r="H30" s="501">
        <f>'[1]raw data analysis'!DR72</f>
        <v>0.61437099499999992</v>
      </c>
      <c r="I30" s="501">
        <f>'[1]raw data analysis'!DR73</f>
        <v>2.9738545583125494E-2</v>
      </c>
      <c r="J30" s="501">
        <f>'[1]raw data analysis'!DR74</f>
        <v>1.4869272791562747E-2</v>
      </c>
      <c r="K30" s="501">
        <f>'[1]raw data analysis'!DS72</f>
        <v>0.45746856966666671</v>
      </c>
      <c r="L30" s="501">
        <f>'[1]raw data analysis'!DS73</f>
        <v>9.7511379830868328E-2</v>
      </c>
      <c r="M30" s="501">
        <f>'[1]raw data analysis'!DS74</f>
        <v>4.8755689915434164E-2</v>
      </c>
      <c r="N30" s="434">
        <f>'[1]raw data analysis'!DT72</f>
        <v>18.584267018398009</v>
      </c>
      <c r="O30" s="434">
        <f>'[1]raw data analysis'!DT73</f>
        <v>9.4194377685784509</v>
      </c>
      <c r="P30" s="503">
        <f>'[1]raw data analysis'!DT74</f>
        <v>4.7097188842892255</v>
      </c>
    </row>
    <row r="31" spans="1:18" x14ac:dyDescent="0.2">
      <c r="A31" s="502">
        <v>7770</v>
      </c>
      <c r="B31" s="501">
        <f>'[1]raw data analysis'!DP83</f>
        <v>-8.2179783216666671</v>
      </c>
      <c r="C31" s="501">
        <f>'[1]raw data analysis'!DP84</f>
        <v>2.0445079706102681E-2</v>
      </c>
      <c r="D31" s="501">
        <f>'[1]raw data analysis'!DP85</f>
        <v>1.0222539853051341E-2</v>
      </c>
      <c r="E31" s="501">
        <f>'[1]raw data analysis'!DQ83</f>
        <v>-5.2226787186666668</v>
      </c>
      <c r="F31" s="501">
        <f>'[1]raw data analysis'!DQ84</f>
        <v>7.8277214352876351E-2</v>
      </c>
      <c r="G31" s="501">
        <f>'[1]raw data analysis'!DQ85</f>
        <v>3.9138607176438175E-2</v>
      </c>
      <c r="H31" s="501">
        <f>'[1]raw data analysis'!DR83</f>
        <v>0.59865337333333335</v>
      </c>
      <c r="I31" s="501">
        <f>'[1]raw data analysis'!DR84</f>
        <v>3.1916860348067261E-2</v>
      </c>
      <c r="J31" s="501">
        <f>'[1]raw data analysis'!DR85</f>
        <v>1.595843017403363E-2</v>
      </c>
      <c r="K31" s="501">
        <f>'[1]raw data analysis'!DS83</f>
        <v>0.39950064133333335</v>
      </c>
      <c r="L31" s="501">
        <f>'[1]raw data analysis'!DS84</f>
        <v>0.19260654237212257</v>
      </c>
      <c r="M31" s="501">
        <f>'[1]raw data analysis'!DS85</f>
        <v>9.6303271186061287E-2</v>
      </c>
      <c r="N31" s="434">
        <f>'[1]raw data analysis'!DT83</f>
        <v>23.77935803383923</v>
      </c>
      <c r="O31" s="434">
        <f>'[1]raw data analysis'!DT84</f>
        <v>10.926169862588948</v>
      </c>
      <c r="P31" s="503">
        <f>'[1]raw data analysis'!DT85</f>
        <v>5.4630849312944738</v>
      </c>
    </row>
    <row r="32" spans="1:18" x14ac:dyDescent="0.2">
      <c r="A32" s="505">
        <v>7810</v>
      </c>
      <c r="B32" s="504">
        <v>-8.3020007756666647</v>
      </c>
      <c r="C32" s="504">
        <v>3.3793243693244511E-2</v>
      </c>
      <c r="D32" s="504">
        <v>1.6896621846622255E-2</v>
      </c>
      <c r="E32" s="504">
        <v>-5.8593444766666662</v>
      </c>
      <c r="F32" s="504">
        <v>7.8444645101774138E-2</v>
      </c>
      <c r="G32" s="504">
        <v>3.9222322550887069E-2</v>
      </c>
      <c r="H32" s="504">
        <v>0.66142838999999998</v>
      </c>
      <c r="I32" s="504">
        <v>1.6722769206466627E-2</v>
      </c>
      <c r="J32" s="504">
        <v>8.3613846032333135E-3</v>
      </c>
      <c r="K32" s="504">
        <v>0.43961079400000003</v>
      </c>
      <c r="L32" s="504">
        <v>0.21707553731897322</v>
      </c>
      <c r="M32" s="504">
        <v>0.10853776865948661</v>
      </c>
      <c r="N32" s="427">
        <v>4.5126437789767424</v>
      </c>
      <c r="O32" s="427">
        <v>4.5235147118846806</v>
      </c>
      <c r="P32" s="503">
        <v>2.2617573559423403</v>
      </c>
    </row>
    <row r="33" spans="1:18" x14ac:dyDescent="0.2">
      <c r="A33" s="505">
        <v>8170</v>
      </c>
      <c r="B33" s="504">
        <v>-8.5061436716666652</v>
      </c>
      <c r="C33" s="504">
        <v>1.3253954498405787E-2</v>
      </c>
      <c r="D33" s="504">
        <v>6.6269772492028936E-3</v>
      </c>
      <c r="E33" s="504">
        <v>-5.6291681433333336</v>
      </c>
      <c r="F33" s="504">
        <v>3.9874623918926842E-2</v>
      </c>
      <c r="G33" s="504">
        <v>1.9937311959463421E-2</v>
      </c>
      <c r="H33" s="504">
        <v>0.63354470600000001</v>
      </c>
      <c r="I33" s="504">
        <v>1.3409931971620114E-2</v>
      </c>
      <c r="J33" s="504">
        <v>6.7049659858100571E-3</v>
      </c>
      <c r="K33" s="504">
        <v>0.33947975466666663</v>
      </c>
      <c r="L33" s="504">
        <v>0.12285732286351089</v>
      </c>
      <c r="M33" s="504">
        <v>6.1428661431755446E-2</v>
      </c>
      <c r="N33" s="427">
        <f>'[1]raw data analysis'!DT101</f>
        <v>12.451038840750167</v>
      </c>
      <c r="O33" s="427">
        <v>4.0373233484041888</v>
      </c>
      <c r="P33" s="503">
        <v>2.0186616742020944</v>
      </c>
    </row>
    <row r="34" spans="1:18" x14ac:dyDescent="0.2">
      <c r="A34" s="537">
        <v>8460</v>
      </c>
      <c r="B34" s="504">
        <v>-8.5943137060650585</v>
      </c>
      <c r="C34" s="504">
        <v>1.959937353688582E-2</v>
      </c>
      <c r="D34" s="504">
        <v>1.385884993494013E-2</v>
      </c>
      <c r="E34" s="504">
        <v>-5.6683036076245497</v>
      </c>
      <c r="F34" s="504">
        <v>0.13907259446661488</v>
      </c>
      <c r="G34" s="504">
        <v>9.8339174624550107E-2</v>
      </c>
      <c r="H34" s="504">
        <v>0.66045723821653046</v>
      </c>
      <c r="I34" s="504">
        <v>2.7789230338814277E-2</v>
      </c>
      <c r="J34" s="504">
        <v>1.9649953216530514E-2</v>
      </c>
      <c r="K34" s="504">
        <v>0.58647494905871</v>
      </c>
      <c r="L34" s="504">
        <v>0.14772560501177245</v>
      </c>
      <c r="M34" s="504">
        <v>0.10445777705870972</v>
      </c>
      <c r="N34" s="504">
        <v>4.8612366404932175</v>
      </c>
      <c r="O34" s="504">
        <v>7.6300893505669674</v>
      </c>
      <c r="P34" s="504">
        <v>1.9532139348477635</v>
      </c>
      <c r="Q34" s="426" t="s">
        <v>610</v>
      </c>
      <c r="R34" s="426" t="s">
        <v>609</v>
      </c>
    </row>
    <row r="35" spans="1:18" s="426" customFormat="1" ht="17" thickBot="1" x14ac:dyDescent="0.25">
      <c r="A35" s="562">
        <v>8515</v>
      </c>
      <c r="B35" s="563">
        <v>-9.0784086487696403</v>
      </c>
      <c r="C35" s="563">
        <v>2.4133513755481315E-2</v>
      </c>
      <c r="D35" s="563">
        <v>1.706497123035966E-2</v>
      </c>
      <c r="E35" s="563">
        <v>-5.0185485151955653</v>
      </c>
      <c r="F35" s="563">
        <v>0.12368200267812544</v>
      </c>
      <c r="G35" s="563">
        <v>8.7456382804435226E-2</v>
      </c>
      <c r="H35" s="563">
        <v>0.70697554299998444</v>
      </c>
      <c r="I35" s="563">
        <v>2.1824801303826136E-2</v>
      </c>
      <c r="J35" s="563">
        <v>1.5432464999984463E-2</v>
      </c>
      <c r="K35" s="563">
        <v>0.58581040942232854</v>
      </c>
      <c r="L35" s="563">
        <v>0.34060741012578261</v>
      </c>
      <c r="M35" s="563">
        <v>0.24084580942232839</v>
      </c>
      <c r="N35" s="563">
        <v>-7.1618335991728657</v>
      </c>
      <c r="O35" s="563">
        <v>5.2500239302683509</v>
      </c>
      <c r="P35" s="564">
        <v>3.7123275224844008</v>
      </c>
      <c r="Q35" s="426" t="s">
        <v>610</v>
      </c>
      <c r="R35" s="426" t="s">
        <v>609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E11EE-C1E2-A741-8B85-2CA180B86E5C}">
  <dimension ref="A1:Y45"/>
  <sheetViews>
    <sheetView topLeftCell="G14" zoomScaleNormal="100" workbookViewId="0">
      <selection activeCell="AK49" sqref="AK49"/>
    </sheetView>
  </sheetViews>
  <sheetFormatPr baseColWidth="10" defaultRowHeight="16" x14ac:dyDescent="0.2"/>
  <cols>
    <col min="1" max="16384" width="10.83203125" style="511"/>
  </cols>
  <sheetData>
    <row r="1" spans="1:25" ht="17" thickBot="1" x14ac:dyDescent="0.25">
      <c r="A1" s="569" t="s">
        <v>414</v>
      </c>
      <c r="B1" s="570"/>
      <c r="C1" s="522"/>
      <c r="D1" s="522"/>
      <c r="E1" s="570" t="s">
        <v>634</v>
      </c>
      <c r="F1" s="570"/>
      <c r="G1" s="570"/>
      <c r="H1" s="570"/>
      <c r="I1" s="570"/>
      <c r="J1" s="570"/>
      <c r="K1" s="522"/>
      <c r="T1" s="570" t="s">
        <v>633</v>
      </c>
      <c r="U1" s="570"/>
      <c r="V1" s="570"/>
      <c r="W1" s="570"/>
      <c r="X1" s="570"/>
      <c r="Y1" s="571"/>
    </row>
    <row r="2" spans="1:25" ht="17" thickBot="1" x14ac:dyDescent="0.25">
      <c r="A2" s="521" t="s">
        <v>412</v>
      </c>
      <c r="B2" s="520" t="s">
        <v>413</v>
      </c>
      <c r="C2" s="519"/>
      <c r="D2" s="519"/>
      <c r="E2" s="519" t="s">
        <v>632</v>
      </c>
      <c r="F2" s="519" t="s">
        <v>631</v>
      </c>
      <c r="G2" s="519" t="s">
        <v>390</v>
      </c>
      <c r="H2" s="519" t="s">
        <v>630</v>
      </c>
      <c r="I2" s="519" t="s">
        <v>629</v>
      </c>
      <c r="J2" s="519" t="s">
        <v>628</v>
      </c>
      <c r="K2" s="519"/>
      <c r="T2" s="519" t="s">
        <v>632</v>
      </c>
      <c r="U2" s="519" t="s">
        <v>631</v>
      </c>
      <c r="V2" s="519" t="s">
        <v>390</v>
      </c>
      <c r="W2" s="519" t="s">
        <v>630</v>
      </c>
      <c r="X2" s="519" t="s">
        <v>629</v>
      </c>
      <c r="Y2" s="518" t="s">
        <v>628</v>
      </c>
    </row>
    <row r="3" spans="1:25" x14ac:dyDescent="0.2">
      <c r="A3" s="513">
        <v>3.9598343750000002</v>
      </c>
      <c r="B3" s="512">
        <v>-5.6341197112937511</v>
      </c>
      <c r="C3" s="511">
        <v>0.15734078386653819</v>
      </c>
      <c r="E3" s="516">
        <v>3.911815625</v>
      </c>
      <c r="F3" s="511" cm="1">
        <f t="array" ref="F3:F17">Clumped_Statistics!A2:A16</f>
        <v>1530</v>
      </c>
      <c r="G3" s="515" cm="1">
        <f t="array" ref="G3:G17">Clumped_Statistics!E2:E16</f>
        <v>-6.1861320065081635</v>
      </c>
      <c r="H3" s="515" cm="1">
        <f t="array" ref="H3:H17">Clumped_Statistics!G2:G16</f>
        <v>4.0303612115709937E-2</v>
      </c>
      <c r="I3" s="514" cm="1">
        <f t="array" ref="I3:I17">Clumped_Statistics!N2:N16</f>
        <v>13.032480950069063</v>
      </c>
      <c r="J3" s="514" cm="1">
        <f t="array" ref="J3:J17">Clumped_Statistics!P2:P16</f>
        <v>3.0001433728302414</v>
      </c>
      <c r="T3" s="516">
        <v>3.911815625</v>
      </c>
      <c r="U3" s="511" cm="1">
        <f t="array" ref="U3:U17">Clumped_Statistics!P2:P16</f>
        <v>3.0001433728302414</v>
      </c>
      <c r="V3" s="515" cm="1">
        <f t="array" ref="V3:V17">Clumped_Statistics!E21:E35</f>
        <v>-6.1388532061608769</v>
      </c>
      <c r="W3" s="515" cm="1">
        <f t="array" ref="W3:W17">Clumped_Statistics!G21:G35</f>
        <v>5.5203944941148164E-2</v>
      </c>
      <c r="X3" s="514" cm="1">
        <f t="array" ref="X3:X17">Clumped_Statistics!N21:N35</f>
        <v>11.254404586324256</v>
      </c>
      <c r="Y3" s="514" cm="1">
        <f t="array" ref="Y3:Y17">Clumped_Statistics!P21:P35</f>
        <v>2.7680292057846083</v>
      </c>
    </row>
    <row r="4" spans="1:25" x14ac:dyDescent="0.2">
      <c r="A4" s="513">
        <v>3.911815625</v>
      </c>
      <c r="B4" s="512">
        <v>-6.1207700676048713</v>
      </c>
      <c r="C4" s="511">
        <v>7.2044338899927521E-2</v>
      </c>
      <c r="E4" s="511">
        <v>3.8</v>
      </c>
      <c r="F4" s="511">
        <v>1650</v>
      </c>
      <c r="G4" s="515">
        <v>-4.8736622050000005</v>
      </c>
      <c r="H4" s="515">
        <v>0.47757221184237553</v>
      </c>
      <c r="I4" s="514">
        <v>11.645939936168702</v>
      </c>
      <c r="J4" s="514">
        <v>0.95489670702596186</v>
      </c>
      <c r="T4" s="511">
        <v>3.8</v>
      </c>
      <c r="U4" s="511">
        <v>0.95489670702596186</v>
      </c>
      <c r="V4" s="515">
        <v>-5.3064248279999999</v>
      </c>
      <c r="W4" s="515">
        <v>0.37570124375494507</v>
      </c>
      <c r="X4" s="514">
        <v>7.0751852397594348</v>
      </c>
      <c r="Y4" s="514">
        <v>4.0155650575734727</v>
      </c>
    </row>
    <row r="5" spans="1:25" x14ac:dyDescent="0.2">
      <c r="A5" s="513">
        <v>3.8859593750000001</v>
      </c>
      <c r="B5" s="512"/>
      <c r="E5" s="516">
        <v>3.6606406250000001</v>
      </c>
      <c r="F5" s="511">
        <v>2210</v>
      </c>
      <c r="G5" s="515">
        <v>-6.0748457185243465</v>
      </c>
      <c r="H5" s="515">
        <v>4.1333906971947637E-2</v>
      </c>
      <c r="I5" s="514">
        <v>24.402488205498134</v>
      </c>
      <c r="J5" s="514">
        <v>4.2221901205250578</v>
      </c>
      <c r="T5" s="516">
        <v>3.6606406250000001</v>
      </c>
      <c r="U5" s="511">
        <v>4.2221901205250578</v>
      </c>
      <c r="V5" s="515">
        <v>-6.0933109569927222</v>
      </c>
      <c r="W5" s="515">
        <v>3.4571823273828017E-2</v>
      </c>
      <c r="X5" s="514">
        <v>20.639129342234796</v>
      </c>
      <c r="Y5" s="514">
        <v>4.160196627621624</v>
      </c>
    </row>
    <row r="6" spans="1:25" x14ac:dyDescent="0.2">
      <c r="A6" s="513">
        <v>3.8748781250000004</v>
      </c>
      <c r="B6" s="512">
        <v>-5.9770460676086303</v>
      </c>
      <c r="C6" s="511">
        <v>0.1635042771299049</v>
      </c>
      <c r="E6" s="516">
        <v>3.5770410367170626</v>
      </c>
      <c r="F6" s="511">
        <v>2520</v>
      </c>
      <c r="G6" s="515">
        <v>-5.464213667782035</v>
      </c>
      <c r="H6" s="515">
        <v>3.6050661336364781E-2</v>
      </c>
      <c r="I6" s="514">
        <v>18.409897824268256</v>
      </c>
      <c r="J6" s="514">
        <v>3.4108774566570279</v>
      </c>
      <c r="T6" s="516">
        <v>3.5770410367170626</v>
      </c>
      <c r="U6" s="511">
        <v>3.4108774566570279</v>
      </c>
      <c r="V6" s="515">
        <v>-5.464213667782035</v>
      </c>
      <c r="W6" s="515">
        <v>3.6050661336364781E-2</v>
      </c>
      <c r="X6" s="514">
        <v>18.409897824268256</v>
      </c>
      <c r="Y6" s="514">
        <v>3.4108774566570279</v>
      </c>
    </row>
    <row r="7" spans="1:25" x14ac:dyDescent="0.2">
      <c r="A7" s="513">
        <v>3.8637968750000002</v>
      </c>
      <c r="B7" s="512">
        <v>-5.3154240103900179</v>
      </c>
      <c r="C7" s="511">
        <v>0.23042280220765907</v>
      </c>
      <c r="E7" s="511">
        <v>3.45</v>
      </c>
      <c r="F7" s="511">
        <v>3670</v>
      </c>
      <c r="G7" s="515">
        <v>-6.5821954375700464</v>
      </c>
      <c r="H7" s="515">
        <v>2.781865235997541E-2</v>
      </c>
      <c r="I7" s="514">
        <v>14.14053938447436</v>
      </c>
      <c r="J7" s="514">
        <v>2.2108901443787037</v>
      </c>
      <c r="T7" s="511">
        <v>3.45</v>
      </c>
      <c r="U7" s="511">
        <v>2.2108901443787037</v>
      </c>
      <c r="V7" s="515">
        <v>-6.5821954375700464</v>
      </c>
      <c r="W7" s="515">
        <v>2.781865235997541E-2</v>
      </c>
      <c r="X7" s="514">
        <v>14.14053938447436</v>
      </c>
      <c r="Y7" s="514">
        <v>2.2108901443787037</v>
      </c>
    </row>
    <row r="8" spans="1:25" x14ac:dyDescent="0.2">
      <c r="A8" s="513">
        <v>3.8305531250000002</v>
      </c>
      <c r="B8" s="512">
        <v>-5.3938098606121132</v>
      </c>
      <c r="C8" s="511">
        <v>0.239098002781401</v>
      </c>
      <c r="E8" s="516">
        <v>3.2957739130434782</v>
      </c>
      <c r="F8" s="511">
        <v>5020</v>
      </c>
      <c r="G8" s="515">
        <v>-6.5577331030000003</v>
      </c>
      <c r="H8" s="515">
        <v>4.3526728073808668E-2</v>
      </c>
      <c r="I8" s="514">
        <v>20.769942498551263</v>
      </c>
      <c r="J8" s="514">
        <v>2.0881734715661815</v>
      </c>
      <c r="T8" s="516">
        <v>3.2957739130434782</v>
      </c>
      <c r="U8" s="511">
        <v>2.0881734715661815</v>
      </c>
      <c r="V8" s="515">
        <v>-6.5521315733860179</v>
      </c>
      <c r="W8" s="515">
        <v>3.5978157798269489E-2</v>
      </c>
      <c r="X8" s="514">
        <v>17.683880500831847</v>
      </c>
      <c r="Y8" s="514">
        <v>3.5257279558510719</v>
      </c>
    </row>
    <row r="9" spans="1:25" x14ac:dyDescent="0.2">
      <c r="A9" s="513">
        <v>3.812084375</v>
      </c>
      <c r="B9" s="512">
        <v>-6.0964527061163025</v>
      </c>
      <c r="C9" s="511">
        <v>0.1714357327989274</v>
      </c>
      <c r="E9" s="517">
        <v>3.2840086959999999</v>
      </c>
      <c r="F9" s="511">
        <v>5130</v>
      </c>
      <c r="G9" s="515">
        <v>-5.8044245019999998</v>
      </c>
      <c r="H9" s="515">
        <v>6.2673490311643374E-4</v>
      </c>
      <c r="I9" s="514">
        <v>13.907555357546158</v>
      </c>
      <c r="J9" s="514">
        <v>1.0111321089082574</v>
      </c>
      <c r="T9" s="517">
        <v>3.2840086959999999</v>
      </c>
      <c r="U9" s="511">
        <v>1.0111321089082574</v>
      </c>
      <c r="V9" s="515">
        <v>-5.8044245019999998</v>
      </c>
      <c r="W9" s="515">
        <v>5.9480474888479733E-2</v>
      </c>
      <c r="X9" s="514">
        <v>18.950750474960291</v>
      </c>
      <c r="Y9" s="514">
        <v>4.4256702108341699</v>
      </c>
    </row>
    <row r="10" spans="1:25" x14ac:dyDescent="0.2">
      <c r="A10" s="513">
        <v>3.7936156250000002</v>
      </c>
      <c r="B10" s="512">
        <v>-5.1287225490471151</v>
      </c>
      <c r="C10" s="511">
        <v>0.15532045387329205</v>
      </c>
      <c r="E10" s="516">
        <v>3.2588739130434781</v>
      </c>
      <c r="F10" s="511">
        <v>5365</v>
      </c>
      <c r="G10" s="515">
        <v>-5.7468283499999995</v>
      </c>
      <c r="H10" s="515">
        <v>1.9978131840703024E-2</v>
      </c>
      <c r="I10" s="514">
        <v>16.813100170540338</v>
      </c>
      <c r="J10" s="514">
        <v>0.96707665789506536</v>
      </c>
      <c r="T10" s="516">
        <v>3.2588739130434781</v>
      </c>
      <c r="U10" s="511">
        <v>0.96707665789506536</v>
      </c>
      <c r="V10" s="515">
        <v>-5.8130544260000008</v>
      </c>
      <c r="W10" s="515">
        <v>5.9067611537039356E-2</v>
      </c>
      <c r="X10" s="514">
        <v>23.36616019547057</v>
      </c>
      <c r="Y10" s="514">
        <v>5.7161670198548862</v>
      </c>
    </row>
    <row r="11" spans="1:25" x14ac:dyDescent="0.2">
      <c r="A11" s="513">
        <v>3.7308218750000002</v>
      </c>
      <c r="B11" s="512">
        <v>-5.8153775524083722</v>
      </c>
      <c r="C11" s="511">
        <v>0.15350611428030808</v>
      </c>
      <c r="E11" s="516">
        <v>3.11913793103448</v>
      </c>
      <c r="F11" s="511">
        <v>6690</v>
      </c>
      <c r="G11" s="515">
        <v>-5.646577612333334</v>
      </c>
      <c r="H11" s="515">
        <v>1.4372147059007422E-2</v>
      </c>
      <c r="I11" s="514">
        <v>3.2939171658659916</v>
      </c>
      <c r="J11" s="514">
        <v>1.8457607102995612</v>
      </c>
      <c r="T11" s="516">
        <v>3.11913793103448</v>
      </c>
      <c r="U11" s="511">
        <v>1.8457607102995612</v>
      </c>
      <c r="V11" s="515">
        <v>-5.646577612333334</v>
      </c>
      <c r="W11" s="515">
        <v>1.4372147059007422E-2</v>
      </c>
      <c r="X11" s="514">
        <v>3.2939171658659916</v>
      </c>
      <c r="Y11" s="514">
        <v>1.8457607102995612</v>
      </c>
    </row>
    <row r="12" spans="1:25" x14ac:dyDescent="0.2">
      <c r="A12" s="513">
        <v>3.6606406250000001</v>
      </c>
      <c r="B12" s="512">
        <v>-5.8769222089864259</v>
      </c>
      <c r="C12" s="511">
        <v>7.9427906404797438E-2</v>
      </c>
      <c r="E12" s="516">
        <v>2.9851653846153847</v>
      </c>
      <c r="F12" s="511">
        <v>7170</v>
      </c>
      <c r="G12" s="515">
        <v>-5.2807279245000007</v>
      </c>
      <c r="H12" s="515">
        <v>1.31061205981491E-2</v>
      </c>
      <c r="I12" s="514">
        <v>13.872664930944268</v>
      </c>
      <c r="J12" s="514">
        <v>3.3262760848001509</v>
      </c>
      <c r="T12" s="516">
        <v>2.9851653846153847</v>
      </c>
      <c r="U12" s="511">
        <v>3.3262760848001509</v>
      </c>
      <c r="V12" s="515">
        <v>-5.248019230333334</v>
      </c>
      <c r="W12" s="515">
        <v>2.9804013221930575E-2</v>
      </c>
      <c r="X12" s="514">
        <v>18.584267018398009</v>
      </c>
      <c r="Y12" s="514">
        <v>4.7097188842892255</v>
      </c>
    </row>
    <row r="13" spans="1:25" x14ac:dyDescent="0.2">
      <c r="A13" s="513">
        <v>3.5770410367170626</v>
      </c>
      <c r="B13" s="512">
        <v>-4.9955435671037431</v>
      </c>
      <c r="C13" s="511">
        <v>8.234324520007226E-2</v>
      </c>
      <c r="E13" s="516">
        <v>2.8810884615384618</v>
      </c>
      <c r="F13" s="511">
        <v>7770</v>
      </c>
      <c r="G13" s="515">
        <v>-5.2672073680000002</v>
      </c>
      <c r="H13" s="515">
        <v>9.4583416224309543E-3</v>
      </c>
      <c r="I13" s="514">
        <v>17.629639758380506</v>
      </c>
      <c r="J13" s="514">
        <v>1.7210582883234822</v>
      </c>
      <c r="T13" s="516">
        <v>2.8810884615384618</v>
      </c>
      <c r="U13" s="511">
        <v>1.7210582883234822</v>
      </c>
      <c r="V13" s="515">
        <v>-5.2226787186666668</v>
      </c>
      <c r="W13" s="515">
        <v>3.9138607176438175E-2</v>
      </c>
      <c r="X13" s="514">
        <v>23.77935803383923</v>
      </c>
      <c r="Y13" s="514">
        <v>5.4630849312944738</v>
      </c>
    </row>
    <row r="14" spans="1:25" x14ac:dyDescent="0.2">
      <c r="A14" s="513">
        <v>3.4931619870410366</v>
      </c>
      <c r="B14" s="512">
        <v>-5.6447951453113889</v>
      </c>
      <c r="C14" s="511">
        <v>3.606115633083469E-2</v>
      </c>
      <c r="E14" s="516">
        <v>2.8741500000000002</v>
      </c>
      <c r="F14" s="511">
        <v>7810</v>
      </c>
      <c r="G14" s="515">
        <v>-5.8593444766666662</v>
      </c>
      <c r="H14" s="515">
        <v>3.9222322550887069E-2</v>
      </c>
      <c r="I14" s="514">
        <v>4.5126437789767424</v>
      </c>
      <c r="J14" s="514">
        <v>2.2617573559423403</v>
      </c>
      <c r="T14" s="516">
        <v>2.8741500000000002</v>
      </c>
      <c r="U14" s="511">
        <v>2.2617573559423403</v>
      </c>
      <c r="V14" s="515">
        <v>-5.8593444766666662</v>
      </c>
      <c r="W14" s="515">
        <v>3.9222322550887069E-2</v>
      </c>
      <c r="X14" s="514">
        <v>4.5126437789767424</v>
      </c>
      <c r="Y14" s="514">
        <v>2.2617573559423403</v>
      </c>
    </row>
    <row r="15" spans="1:25" x14ac:dyDescent="0.2">
      <c r="A15" s="513">
        <v>3.4736285097192225</v>
      </c>
      <c r="B15" s="512">
        <v>-6.1800768774603441</v>
      </c>
      <c r="C15" s="511">
        <v>0.20753458173353923</v>
      </c>
      <c r="E15" s="516">
        <v>2.8117038461538462</v>
      </c>
      <c r="F15" s="511">
        <v>8170</v>
      </c>
      <c r="G15" s="515">
        <v>-5.6291681433333336</v>
      </c>
      <c r="H15" s="515">
        <v>1.9937311959463421E-2</v>
      </c>
      <c r="I15" s="514">
        <v>12.451038840750167</v>
      </c>
      <c r="J15" s="514">
        <v>2.0186616742020944</v>
      </c>
      <c r="T15" s="516">
        <v>2.8117038461538462</v>
      </c>
      <c r="U15" s="511">
        <v>2.0186616742020944</v>
      </c>
      <c r="V15" s="515">
        <v>-5.6291681433333336</v>
      </c>
      <c r="W15" s="515">
        <v>1.9937311959463421E-2</v>
      </c>
      <c r="X15" s="514">
        <v>12.451038840750167</v>
      </c>
      <c r="Y15" s="514">
        <v>2.0186616742020944</v>
      </c>
    </row>
    <row r="16" spans="1:25" x14ac:dyDescent="0.2">
      <c r="A16" s="513">
        <v>3.4483498920086393</v>
      </c>
      <c r="B16" s="512">
        <v>-6.3563824488304048</v>
      </c>
      <c r="C16" s="511">
        <v>3.0413795978398089E-2</v>
      </c>
      <c r="E16" s="516">
        <v>2.7614000000000001</v>
      </c>
      <c r="F16" s="511">
        <v>8460</v>
      </c>
      <c r="G16" s="515">
        <v>-5.6683036076245497</v>
      </c>
      <c r="H16" s="515">
        <v>9.8339174624550107E-2</v>
      </c>
      <c r="I16" s="514">
        <v>4.8612366404932175</v>
      </c>
      <c r="J16" s="514">
        <v>1.9532139348477635</v>
      </c>
      <c r="T16" s="516">
        <v>2.7614000000000001</v>
      </c>
      <c r="U16" s="511">
        <v>1.9532139348477635</v>
      </c>
      <c r="V16" s="515">
        <v>-5.6683036076245497</v>
      </c>
      <c r="W16" s="515">
        <v>9.8339174624550107E-2</v>
      </c>
      <c r="X16" s="514">
        <v>4.8612366404932175</v>
      </c>
      <c r="Y16" s="514">
        <v>1.9532139348477635</v>
      </c>
    </row>
    <row r="17" spans="1:25" x14ac:dyDescent="0.2">
      <c r="A17" s="513">
        <v>3.4311144708423327</v>
      </c>
      <c r="B17" s="512">
        <v>-6.3356143481518625</v>
      </c>
      <c r="C17" s="511">
        <v>9.9841340769148884E-2</v>
      </c>
      <c r="E17" s="516">
        <v>2.7518596153846153</v>
      </c>
      <c r="F17" s="511">
        <v>8515</v>
      </c>
      <c r="G17" s="511">
        <v>-5.0185485151955653</v>
      </c>
      <c r="H17" s="511">
        <v>8.7456382804435226E-2</v>
      </c>
      <c r="I17" s="511">
        <v>-7.1618335991728657</v>
      </c>
      <c r="J17" s="511">
        <v>3.7123275224844008</v>
      </c>
      <c r="T17" s="516">
        <v>2.7518596153846153</v>
      </c>
      <c r="U17" s="511">
        <v>3.7123275224844008</v>
      </c>
      <c r="V17" s="511">
        <v>-5.0185485151955653</v>
      </c>
      <c r="W17" s="511">
        <v>8.7456382804435226E-2</v>
      </c>
      <c r="X17" s="511">
        <v>-7.1618335991728657</v>
      </c>
      <c r="Y17" s="511">
        <v>3.7123275224844008</v>
      </c>
    </row>
    <row r="18" spans="1:25" x14ac:dyDescent="0.2">
      <c r="A18" s="513">
        <v>3.4110064794816415</v>
      </c>
      <c r="B18" s="512">
        <v>-5.6165101798409696</v>
      </c>
      <c r="C18" s="511">
        <v>0.12140720671655685</v>
      </c>
      <c r="E18" s="511">
        <v>2.4</v>
      </c>
      <c r="I18" s="511">
        <v>16.7</v>
      </c>
    </row>
    <row r="19" spans="1:25" x14ac:dyDescent="0.2">
      <c r="A19" s="513">
        <v>3.3966436285097195</v>
      </c>
      <c r="B19" s="512">
        <v>-5.7480646369819777</v>
      </c>
      <c r="C19" s="511">
        <v>5.5315728994304113E-2</v>
      </c>
      <c r="E19" s="511">
        <v>4.0999999999999996</v>
      </c>
      <c r="I19" s="511">
        <v>16.7</v>
      </c>
    </row>
    <row r="20" spans="1:25" x14ac:dyDescent="0.2">
      <c r="A20" s="513">
        <v>3.3702159827213825</v>
      </c>
      <c r="B20" s="512">
        <v>-5.1447417743551851</v>
      </c>
      <c r="C20" s="511">
        <v>6.3565046691398161E-2</v>
      </c>
      <c r="E20" s="511">
        <v>2.4</v>
      </c>
      <c r="I20" s="511">
        <v>13.4</v>
      </c>
    </row>
    <row r="21" spans="1:25" x14ac:dyDescent="0.2">
      <c r="A21" s="513">
        <v>3.2957739130434782</v>
      </c>
      <c r="B21" s="512">
        <v>-5.2232716704822924</v>
      </c>
      <c r="C21" s="511">
        <v>0.10594763337178664</v>
      </c>
      <c r="E21" s="511">
        <v>4.0999999999999996</v>
      </c>
      <c r="I21" s="511">
        <v>13.4</v>
      </c>
    </row>
    <row r="22" spans="1:25" x14ac:dyDescent="0.2">
      <c r="A22" s="513">
        <v>3.2925652173913043</v>
      </c>
      <c r="B22" s="512">
        <v>-6.7170662012171141</v>
      </c>
      <c r="C22" s="511">
        <v>0.49466732344611358</v>
      </c>
      <c r="E22" s="511">
        <v>2.4</v>
      </c>
      <c r="I22" s="511">
        <v>31.9</v>
      </c>
    </row>
    <row r="23" spans="1:25" x14ac:dyDescent="0.2">
      <c r="A23" s="513">
        <v>3.2893565217391303</v>
      </c>
      <c r="B23" s="512">
        <v>-6.0040881592706619</v>
      </c>
      <c r="C23" s="511">
        <v>5.9802019448195534E-2</v>
      </c>
      <c r="E23" s="511">
        <v>4.0999999999999996</v>
      </c>
      <c r="I23" s="511">
        <v>31.9</v>
      </c>
    </row>
    <row r="24" spans="1:25" x14ac:dyDescent="0.2">
      <c r="A24" s="513">
        <v>3.2872173913043476</v>
      </c>
      <c r="B24" s="512">
        <v>-5.9305125981901972</v>
      </c>
      <c r="C24" s="511">
        <v>0.31265538102843854</v>
      </c>
      <c r="L24" s="567" t="s">
        <v>669</v>
      </c>
    </row>
    <row r="25" spans="1:25" x14ac:dyDescent="0.2">
      <c r="A25" s="513">
        <v>3.2840086956521741</v>
      </c>
      <c r="B25" s="512">
        <v>-7</v>
      </c>
      <c r="C25" s="511">
        <v>0.37495565336076581</v>
      </c>
    </row>
    <row r="26" spans="1:25" x14ac:dyDescent="0.2">
      <c r="A26" s="513">
        <v>3.2588739130434781</v>
      </c>
      <c r="B26" s="512">
        <v>-5.4981528435324831</v>
      </c>
      <c r="C26" s="511">
        <v>0.17652609202616359</v>
      </c>
    </row>
    <row r="27" spans="1:25" x14ac:dyDescent="0.2">
      <c r="A27" s="513">
        <v>3.2428304347826087</v>
      </c>
      <c r="B27" s="512">
        <v>-5.7837988593708589</v>
      </c>
      <c r="C27" s="511">
        <v>0.12456111537769055</v>
      </c>
    </row>
    <row r="28" spans="1:25" x14ac:dyDescent="0.2">
      <c r="A28" s="513">
        <v>3.2315999999999998</v>
      </c>
      <c r="B28" s="512">
        <v>-5.8836295337331528</v>
      </c>
      <c r="C28" s="511">
        <v>6.5247170338868704E-2</v>
      </c>
    </row>
    <row r="29" spans="1:25" x14ac:dyDescent="0.2">
      <c r="A29" s="513">
        <v>3.2187652173913044</v>
      </c>
      <c r="B29" s="512">
        <v>-5.1405140485151852</v>
      </c>
      <c r="C29" s="511">
        <v>0.15852571017947686</v>
      </c>
    </row>
    <row r="30" spans="1:25" x14ac:dyDescent="0.2">
      <c r="A30" s="513">
        <v>3.1191379310344827</v>
      </c>
      <c r="B30" s="512">
        <v>-4.8761036869728089</v>
      </c>
      <c r="C30" s="511">
        <v>8.2168406684500886E-2</v>
      </c>
    </row>
    <row r="31" spans="1:25" x14ac:dyDescent="0.2">
      <c r="A31" s="513">
        <v>2.9851653846153847</v>
      </c>
      <c r="B31" s="512">
        <v>-5.1607665130674434</v>
      </c>
      <c r="C31" s="511">
        <v>0.16105990926427602</v>
      </c>
    </row>
    <row r="32" spans="1:25" x14ac:dyDescent="0.2">
      <c r="A32" s="513">
        <v>2.9686865384615384</v>
      </c>
      <c r="B32" s="512">
        <v>-5.0999526684461198</v>
      </c>
      <c r="C32" s="511">
        <v>0.10562769051723538</v>
      </c>
    </row>
    <row r="33" spans="1:3" x14ac:dyDescent="0.2">
      <c r="A33" s="513">
        <v>2.9400653846153846</v>
      </c>
      <c r="B33" s="512">
        <v>-5.4116261361212334</v>
      </c>
      <c r="C33" s="511">
        <v>7.1187231763628844E-2</v>
      </c>
    </row>
    <row r="34" spans="1:3" x14ac:dyDescent="0.2">
      <c r="A34" s="513">
        <v>2.8845576923076921</v>
      </c>
      <c r="B34" s="512">
        <v>-6.2616653366229302</v>
      </c>
      <c r="C34" s="511">
        <v>0.20701398640591007</v>
      </c>
    </row>
    <row r="35" spans="1:3" x14ac:dyDescent="0.2">
      <c r="A35" s="513">
        <v>2.8810884615384618</v>
      </c>
      <c r="B35" s="512">
        <v>-5.8926196651717149</v>
      </c>
      <c r="C35" s="511">
        <v>0.30391988517042579</v>
      </c>
    </row>
    <row r="36" spans="1:3" x14ac:dyDescent="0.2">
      <c r="A36" s="513">
        <v>2.8776192307692305</v>
      </c>
      <c r="B36" s="512">
        <v>-5.4942148201072172</v>
      </c>
      <c r="C36" s="511">
        <v>0.17825908085833955</v>
      </c>
    </row>
    <row r="37" spans="1:3" x14ac:dyDescent="0.2">
      <c r="A37" s="513">
        <v>2.8741500000000002</v>
      </c>
      <c r="B37" s="512">
        <v>-6.6560082688373488</v>
      </c>
      <c r="C37" s="511">
        <v>0.14516912841272483</v>
      </c>
    </row>
    <row r="38" spans="1:3" x14ac:dyDescent="0.2">
      <c r="A38" s="513">
        <v>2.8368557692307692</v>
      </c>
      <c r="B38" s="512">
        <v>-5.6239281754816703</v>
      </c>
      <c r="C38" s="511">
        <v>0.3171737702065926</v>
      </c>
    </row>
    <row r="39" spans="1:3" x14ac:dyDescent="0.2">
      <c r="A39" s="513">
        <v>2.8117038461538462</v>
      </c>
      <c r="B39" s="512">
        <v>-5.5590731964424265</v>
      </c>
      <c r="C39" s="511">
        <v>0.18153909632003748</v>
      </c>
    </row>
    <row r="40" spans="1:3" x14ac:dyDescent="0.2">
      <c r="A40" s="513">
        <v>2.7839499999999999</v>
      </c>
      <c r="B40" s="512">
        <v>-5.689684679006608</v>
      </c>
      <c r="C40" s="511">
        <v>5.1636175074219179E-2</v>
      </c>
    </row>
    <row r="41" spans="1:3" x14ac:dyDescent="0.2">
      <c r="A41" s="513">
        <v>2.7614000000000001</v>
      </c>
      <c r="B41" s="512">
        <v>-5.1095738831724011</v>
      </c>
      <c r="C41" s="511">
        <v>9.7287530173241835E-2</v>
      </c>
    </row>
    <row r="42" spans="1:3" x14ac:dyDescent="0.2">
      <c r="A42" s="513">
        <v>2.7518596153846153</v>
      </c>
      <c r="B42" s="512">
        <v>-4.7667421335659217</v>
      </c>
      <c r="C42" s="511">
        <v>0.10278980754068411</v>
      </c>
    </row>
    <row r="43" spans="1:3" x14ac:dyDescent="0.2">
      <c r="A43" s="513">
        <v>2.7336461538461538</v>
      </c>
      <c r="B43" s="512">
        <v>-5.1802586635931016</v>
      </c>
      <c r="C43" s="511">
        <v>5.8357720196847568E-2</v>
      </c>
    </row>
    <row r="44" spans="1:3" x14ac:dyDescent="0.2">
      <c r="A44" s="513">
        <v>2.7327788461538463</v>
      </c>
      <c r="B44" s="512">
        <v>-5.993925582765649</v>
      </c>
      <c r="C44" s="511">
        <v>3.9460792453804787E-2</v>
      </c>
    </row>
    <row r="45" spans="1:3" x14ac:dyDescent="0.2">
      <c r="A45" s="513">
        <v>2.6764038461538462</v>
      </c>
      <c r="B45" s="512">
        <v>-5.9944826898965804</v>
      </c>
      <c r="C45" s="511">
        <v>4.5235672802388466E-2</v>
      </c>
    </row>
  </sheetData>
  <mergeCells count="3">
    <mergeCell ref="A1:B1"/>
    <mergeCell ref="E1:J1"/>
    <mergeCell ref="T1:Y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7F18-9712-E147-9131-30CA3ACEF8EC}">
  <dimension ref="A1:F14"/>
  <sheetViews>
    <sheetView workbookViewId="0">
      <selection activeCell="D22" sqref="D22"/>
    </sheetView>
  </sheetViews>
  <sheetFormatPr baseColWidth="10" defaultRowHeight="16" x14ac:dyDescent="0.2"/>
  <cols>
    <col min="1" max="1" width="12.6640625" style="523" bestFit="1" customWidth="1"/>
    <col min="2" max="2" width="8.33203125" style="523" bestFit="1" customWidth="1"/>
    <col min="3" max="3" width="10.33203125" style="523" bestFit="1" customWidth="1"/>
    <col min="4" max="4" width="16.5" style="523" bestFit="1" customWidth="1"/>
    <col min="5" max="5" width="18.5" style="523" bestFit="1" customWidth="1"/>
    <col min="6" max="16384" width="10.83203125" style="523"/>
  </cols>
  <sheetData>
    <row r="1" spans="1:6" ht="17" thickBot="1" x14ac:dyDescent="0.25">
      <c r="A1" s="532" t="s">
        <v>640</v>
      </c>
      <c r="B1" s="530" t="s">
        <v>639</v>
      </c>
      <c r="C1" s="531" t="s">
        <v>638</v>
      </c>
      <c r="D1" s="530" t="s">
        <v>637</v>
      </c>
      <c r="E1" s="530" t="s">
        <v>636</v>
      </c>
      <c r="F1" s="529" t="s">
        <v>635</v>
      </c>
    </row>
    <row r="2" spans="1:6" x14ac:dyDescent="0.2">
      <c r="A2" s="528">
        <v>-6.15</v>
      </c>
      <c r="B2" s="527">
        <v>-6.1</v>
      </c>
      <c r="D2" s="527">
        <v>0.05</v>
      </c>
      <c r="E2" s="527"/>
      <c r="F2" s="526"/>
    </row>
    <row r="3" spans="1:6" x14ac:dyDescent="0.2">
      <c r="A3" s="528">
        <v>-5.31</v>
      </c>
      <c r="B3" s="527"/>
      <c r="D3" s="527"/>
      <c r="E3" s="527"/>
      <c r="F3" s="526"/>
    </row>
    <row r="4" spans="1:6" x14ac:dyDescent="0.2">
      <c r="A4" s="528">
        <v>-6.04</v>
      </c>
      <c r="B4" s="527">
        <v>-5.8</v>
      </c>
      <c r="C4" s="523">
        <v>-5.94</v>
      </c>
      <c r="D4" s="527">
        <v>0.24</v>
      </c>
      <c r="E4" s="527">
        <v>-0.1</v>
      </c>
      <c r="F4" s="526">
        <v>0.14000000000000001</v>
      </c>
    </row>
    <row r="5" spans="1:6" x14ac:dyDescent="0.2">
      <c r="A5" s="528">
        <v>-5.48</v>
      </c>
      <c r="B5" s="527">
        <v>-5.0999999999999996</v>
      </c>
      <c r="D5" s="527">
        <v>0.38</v>
      </c>
      <c r="E5" s="527"/>
      <c r="F5" s="526"/>
    </row>
    <row r="6" spans="1:6" x14ac:dyDescent="0.2">
      <c r="A6" s="528">
        <v>-6.56</v>
      </c>
      <c r="B6" s="527">
        <v>-5.24</v>
      </c>
      <c r="C6" s="523">
        <v>-6.1</v>
      </c>
      <c r="D6" s="527">
        <v>1.32</v>
      </c>
      <c r="E6" s="527">
        <v>-0.46</v>
      </c>
      <c r="F6" s="526">
        <v>0.86</v>
      </c>
    </row>
    <row r="7" spans="1:6" x14ac:dyDescent="0.2">
      <c r="A7" s="528">
        <v>-5.74</v>
      </c>
      <c r="B7" s="527">
        <v>-6.9</v>
      </c>
      <c r="D7" s="527">
        <v>-1.1599999999999999</v>
      </c>
      <c r="E7" s="527"/>
      <c r="F7" s="526"/>
    </row>
    <row r="8" spans="1:6" x14ac:dyDescent="0.2">
      <c r="A8" s="528">
        <v>-5.81</v>
      </c>
      <c r="B8" s="527">
        <v>-5.5</v>
      </c>
      <c r="D8" s="527">
        <v>0.31</v>
      </c>
      <c r="E8" s="527"/>
      <c r="F8" s="526"/>
    </row>
    <row r="9" spans="1:6" x14ac:dyDescent="0.2">
      <c r="A9" s="528">
        <v>-5.65</v>
      </c>
      <c r="B9" s="527">
        <v>-4.88</v>
      </c>
      <c r="C9" s="523">
        <v>-6.01</v>
      </c>
      <c r="D9" s="527">
        <v>0.77</v>
      </c>
      <c r="E9" s="527">
        <v>0.36</v>
      </c>
      <c r="F9" s="526">
        <v>1.1299999999999999</v>
      </c>
    </row>
    <row r="10" spans="1:6" x14ac:dyDescent="0.2">
      <c r="A10" s="528">
        <v>-5.28</v>
      </c>
      <c r="B10" s="527">
        <v>-5.01</v>
      </c>
      <c r="C10" s="523">
        <v>-5.19</v>
      </c>
      <c r="D10" s="527">
        <v>0.27</v>
      </c>
      <c r="E10" s="527">
        <v>-0.09</v>
      </c>
      <c r="F10" s="526">
        <v>0.18</v>
      </c>
    </row>
    <row r="11" spans="1:6" x14ac:dyDescent="0.2">
      <c r="A11" s="528">
        <v>-5.86</v>
      </c>
      <c r="B11" s="527">
        <v>-7</v>
      </c>
      <c r="C11" s="523">
        <v>-6.23</v>
      </c>
      <c r="D11" s="527">
        <v>-1.1399999999999999</v>
      </c>
      <c r="E11" s="527">
        <v>0.37</v>
      </c>
      <c r="F11" s="526">
        <v>-0.77</v>
      </c>
    </row>
    <row r="12" spans="1:6" x14ac:dyDescent="0.2">
      <c r="A12" s="528">
        <v>-5.63</v>
      </c>
      <c r="B12" s="527">
        <v>-5.49</v>
      </c>
      <c r="C12" s="523">
        <v>-5.46</v>
      </c>
      <c r="D12" s="527">
        <v>0.14000000000000001</v>
      </c>
      <c r="E12" s="527">
        <v>-0.17</v>
      </c>
      <c r="F12" s="526">
        <v>-0.03</v>
      </c>
    </row>
    <row r="13" spans="1:6" x14ac:dyDescent="0.2">
      <c r="A13" s="528">
        <v>-3.89</v>
      </c>
      <c r="B13" s="527"/>
      <c r="D13" s="527"/>
      <c r="E13" s="527"/>
      <c r="F13" s="526"/>
    </row>
    <row r="14" spans="1:6" ht="17" thickBot="1" x14ac:dyDescent="0.25">
      <c r="A14" s="521">
        <v>-5.16</v>
      </c>
      <c r="B14" s="525">
        <v>-4.76</v>
      </c>
      <c r="C14" s="520">
        <v>-5</v>
      </c>
      <c r="D14" s="525">
        <v>0.4</v>
      </c>
      <c r="E14" s="525">
        <v>0.16</v>
      </c>
      <c r="F14" s="524">
        <v>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BA2D-2099-BF4F-8CD2-5BA9FAA4CB37}">
  <dimension ref="A1:L55"/>
  <sheetViews>
    <sheetView workbookViewId="0">
      <selection activeCell="O52" sqref="O52"/>
    </sheetView>
  </sheetViews>
  <sheetFormatPr baseColWidth="10" defaultRowHeight="16" x14ac:dyDescent="0.2"/>
  <cols>
    <col min="1" max="16384" width="10.83203125" style="422"/>
  </cols>
  <sheetData>
    <row r="1" spans="1:12" x14ac:dyDescent="0.2">
      <c r="A1" s="422" t="s">
        <v>108</v>
      </c>
      <c r="B1" s="422" t="s">
        <v>606</v>
      </c>
      <c r="C1" s="422" t="s">
        <v>605</v>
      </c>
      <c r="D1" s="422" t="s">
        <v>604</v>
      </c>
      <c r="E1" s="422" t="s">
        <v>603</v>
      </c>
      <c r="F1" s="422" t="s">
        <v>602</v>
      </c>
      <c r="G1" s="422" t="s">
        <v>601</v>
      </c>
      <c r="H1" s="422" t="s">
        <v>600</v>
      </c>
      <c r="I1" s="422" t="s">
        <v>599</v>
      </c>
      <c r="J1" s="422" t="s">
        <v>598</v>
      </c>
      <c r="K1" s="422" t="s">
        <v>597</v>
      </c>
      <c r="L1" s="422" t="s">
        <v>596</v>
      </c>
    </row>
    <row r="2" spans="1:12" x14ac:dyDescent="0.2">
      <c r="A2" s="422" t="s">
        <v>485</v>
      </c>
      <c r="B2" s="422" t="s">
        <v>430</v>
      </c>
      <c r="C2" s="422">
        <v>1</v>
      </c>
      <c r="D2" s="422" t="s">
        <v>418</v>
      </c>
      <c r="E2" s="422">
        <v>-7.6421357499999996</v>
      </c>
      <c r="F2" s="422">
        <v>3.203352E-3</v>
      </c>
      <c r="G2" s="422">
        <v>30</v>
      </c>
      <c r="H2" s="422">
        <v>2.48E-5</v>
      </c>
      <c r="I2" s="422">
        <v>4.6584679999999998E-3</v>
      </c>
      <c r="J2" s="422">
        <v>0.720066176</v>
      </c>
      <c r="K2" s="422">
        <v>-6.7374818830000001</v>
      </c>
      <c r="L2" s="422">
        <v>8.0695639999999996E-3</v>
      </c>
    </row>
    <row r="3" spans="1:12" x14ac:dyDescent="0.2">
      <c r="A3" s="533" t="s">
        <v>484</v>
      </c>
      <c r="B3" s="533" t="s">
        <v>430</v>
      </c>
      <c r="C3" s="533">
        <v>1</v>
      </c>
      <c r="D3" s="533" t="s">
        <v>429</v>
      </c>
      <c r="E3" s="533">
        <v>-7.7106403590000001</v>
      </c>
      <c r="F3" s="533">
        <v>4.9437350000000003E-3</v>
      </c>
      <c r="G3" s="533">
        <v>30</v>
      </c>
      <c r="H3" s="533">
        <v>4.49E-5</v>
      </c>
      <c r="I3" s="533">
        <v>6.399086E-3</v>
      </c>
      <c r="J3" s="533">
        <v>0.67433660500000003</v>
      </c>
      <c r="K3" s="533">
        <v>-6.8060752149999999</v>
      </c>
      <c r="L3" s="533">
        <v>9.1561279999999995E-3</v>
      </c>
    </row>
    <row r="4" spans="1:12" x14ac:dyDescent="0.2">
      <c r="A4" s="533" t="s">
        <v>659</v>
      </c>
      <c r="B4" s="533" t="s">
        <v>430</v>
      </c>
      <c r="C4" s="533">
        <v>0</v>
      </c>
      <c r="D4" s="533" t="s">
        <v>429</v>
      </c>
      <c r="E4" s="533">
        <v>-7.1692849790000004</v>
      </c>
      <c r="F4" s="533">
        <v>4.6918899999999998E-3</v>
      </c>
      <c r="G4" s="533">
        <v>30</v>
      </c>
      <c r="H4" s="533">
        <v>-9.2800000000000006E-5</v>
      </c>
      <c r="I4" s="533">
        <v>3.0301112000000002E-2</v>
      </c>
      <c r="J4" s="533">
        <v>0.35758826700000002</v>
      </c>
      <c r="K4" s="533">
        <v>-6.6128365640000002</v>
      </c>
      <c r="L4" s="533">
        <v>1.3099303E-2</v>
      </c>
    </row>
    <row r="5" spans="1:12" x14ac:dyDescent="0.2">
      <c r="A5" s="533" t="s">
        <v>658</v>
      </c>
      <c r="B5" s="533" t="s">
        <v>430</v>
      </c>
      <c r="C5" s="533">
        <v>0</v>
      </c>
      <c r="D5" s="533" t="s">
        <v>429</v>
      </c>
      <c r="E5" s="533">
        <v>-7.7302028319999998</v>
      </c>
      <c r="F5" s="533">
        <v>5.1659719999999996E-3</v>
      </c>
      <c r="G5" s="533">
        <v>30</v>
      </c>
      <c r="H5" s="533">
        <v>-7.3499999999999998E-5</v>
      </c>
      <c r="I5" s="533">
        <v>1.5702012000000001E-2</v>
      </c>
      <c r="J5" s="533">
        <v>0.50939306100000004</v>
      </c>
      <c r="K5" s="533">
        <v>-6.873066057</v>
      </c>
      <c r="L5" s="533">
        <v>1.1640334E-2</v>
      </c>
    </row>
    <row r="6" spans="1:12" x14ac:dyDescent="0.2">
      <c r="A6" s="422" t="s">
        <v>483</v>
      </c>
      <c r="B6" s="422" t="s">
        <v>430</v>
      </c>
      <c r="C6" s="422">
        <v>1</v>
      </c>
      <c r="D6" s="422" t="s">
        <v>418</v>
      </c>
      <c r="E6" s="422">
        <v>-9.0103804059999995</v>
      </c>
      <c r="F6" s="422">
        <v>5.2786279999999996E-3</v>
      </c>
      <c r="G6" s="422">
        <v>30</v>
      </c>
      <c r="H6" s="422">
        <v>3.22398E-4</v>
      </c>
      <c r="I6" s="422">
        <v>0.28909798799999997</v>
      </c>
      <c r="J6" s="422">
        <v>2.1817709999999999E-3</v>
      </c>
      <c r="K6" s="422">
        <v>-5.5431350349999997</v>
      </c>
      <c r="L6" s="422">
        <v>6.7357609999999998E-3</v>
      </c>
    </row>
    <row r="7" spans="1:12" x14ac:dyDescent="0.2">
      <c r="A7" s="422" t="s">
        <v>482</v>
      </c>
      <c r="B7" s="422" t="s">
        <v>430</v>
      </c>
      <c r="C7" s="422">
        <v>1</v>
      </c>
      <c r="D7" s="422" t="s">
        <v>481</v>
      </c>
      <c r="E7" s="422">
        <v>-9.0194645169999994</v>
      </c>
      <c r="F7" s="422">
        <v>7.0913249999999999E-3</v>
      </c>
      <c r="G7" s="422">
        <v>30</v>
      </c>
      <c r="H7" s="422">
        <v>-5.5601100000000003E-4</v>
      </c>
      <c r="I7" s="422">
        <v>0.47644658200000001</v>
      </c>
      <c r="J7" s="422">
        <v>2.4300000000000001E-5</v>
      </c>
      <c r="K7" s="422">
        <v>-5.4378284590000003</v>
      </c>
      <c r="L7" s="422">
        <v>0.15594017600000001</v>
      </c>
    </row>
    <row r="8" spans="1:12" x14ac:dyDescent="0.2">
      <c r="A8" s="422" t="s">
        <v>480</v>
      </c>
      <c r="B8" s="422" t="s">
        <v>430</v>
      </c>
      <c r="C8" s="422">
        <v>1</v>
      </c>
      <c r="D8" s="422" t="s">
        <v>418</v>
      </c>
      <c r="E8" s="422">
        <v>-7.6639067880000002</v>
      </c>
      <c r="F8" s="422">
        <v>5.4460380000000003E-3</v>
      </c>
      <c r="G8" s="422">
        <v>30</v>
      </c>
      <c r="H8" s="422">
        <v>1.6118400000000001E-4</v>
      </c>
      <c r="I8" s="422">
        <v>6.7886873E-2</v>
      </c>
      <c r="J8" s="422">
        <v>0.16434275000000001</v>
      </c>
      <c r="K8" s="422">
        <v>-6.7928002210000002</v>
      </c>
      <c r="L8" s="422">
        <v>1.1042188E-2</v>
      </c>
    </row>
    <row r="9" spans="1:12" x14ac:dyDescent="0.2">
      <c r="A9" s="533" t="s">
        <v>657</v>
      </c>
      <c r="B9" s="533" t="s">
        <v>430</v>
      </c>
      <c r="C9" s="533">
        <v>0</v>
      </c>
      <c r="D9" s="533" t="s">
        <v>656</v>
      </c>
      <c r="E9" s="533">
        <v>-9.0956294670000002</v>
      </c>
      <c r="F9" s="533">
        <v>1.0452774E-2</v>
      </c>
      <c r="G9" s="533">
        <v>30</v>
      </c>
      <c r="H9" s="533">
        <v>-6.95621E-4</v>
      </c>
      <c r="I9" s="533">
        <v>0.343228792</v>
      </c>
      <c r="J9" s="533">
        <v>6.6995900000000003E-4</v>
      </c>
      <c r="K9" s="533">
        <v>-5.0127606130000002</v>
      </c>
      <c r="L9" s="533">
        <v>0.23375062399999999</v>
      </c>
    </row>
    <row r="10" spans="1:12" x14ac:dyDescent="0.2">
      <c r="A10" s="533" t="s">
        <v>655</v>
      </c>
      <c r="B10" s="533" t="s">
        <v>430</v>
      </c>
      <c r="C10" s="533">
        <v>0</v>
      </c>
      <c r="D10" s="533" t="s">
        <v>645</v>
      </c>
      <c r="E10" s="533">
        <v>-10.146520539999999</v>
      </c>
      <c r="F10" s="533">
        <v>6.1280203999999998E-2</v>
      </c>
      <c r="G10" s="533">
        <v>30</v>
      </c>
      <c r="H10" s="533">
        <v>-6.8174610000000004E-3</v>
      </c>
      <c r="I10" s="533">
        <v>0.95919446100000005</v>
      </c>
      <c r="J10" s="533">
        <v>5.4100000000000001E-21</v>
      </c>
      <c r="K10" s="533">
        <v>-13.094394039999999</v>
      </c>
      <c r="L10" s="533">
        <v>9.7592279000000004E-2</v>
      </c>
    </row>
    <row r="11" spans="1:12" x14ac:dyDescent="0.2">
      <c r="A11" s="422" t="s">
        <v>478</v>
      </c>
      <c r="B11" s="422" t="s">
        <v>430</v>
      </c>
      <c r="C11" s="422">
        <v>1</v>
      </c>
      <c r="D11" s="422" t="s">
        <v>418</v>
      </c>
      <c r="E11" s="422">
        <v>-7.1214997870000003</v>
      </c>
      <c r="F11" s="422">
        <v>5.188069E-3</v>
      </c>
      <c r="G11" s="422">
        <v>30</v>
      </c>
      <c r="H11" s="422">
        <v>2.9164000000000002E-4</v>
      </c>
      <c r="I11" s="422">
        <v>0.244898276</v>
      </c>
      <c r="J11" s="422">
        <v>5.4329260000000002E-3</v>
      </c>
      <c r="K11" s="422">
        <v>-6.6172153710000003</v>
      </c>
      <c r="L11" s="422">
        <v>1.0168096E-2</v>
      </c>
    </row>
    <row r="12" spans="1:12" x14ac:dyDescent="0.2">
      <c r="A12" s="422" t="s">
        <v>477</v>
      </c>
      <c r="B12" s="422" t="s">
        <v>430</v>
      </c>
      <c r="C12" s="422">
        <v>1</v>
      </c>
      <c r="D12" s="422" t="s">
        <v>418</v>
      </c>
      <c r="E12" s="422">
        <v>-7.1853901259999997</v>
      </c>
      <c r="F12" s="422">
        <v>4.3216280000000001E-3</v>
      </c>
      <c r="G12" s="422">
        <v>30</v>
      </c>
      <c r="H12" s="422">
        <v>5.8499999999999999E-5</v>
      </c>
      <c r="I12" s="422">
        <v>1.4222716E-2</v>
      </c>
      <c r="J12" s="422">
        <v>0.53020096000000005</v>
      </c>
      <c r="K12" s="422">
        <v>-6.7105385780000004</v>
      </c>
      <c r="L12" s="422">
        <v>1.142147E-2</v>
      </c>
    </row>
    <row r="13" spans="1:12" x14ac:dyDescent="0.2">
      <c r="A13" s="533" t="s">
        <v>654</v>
      </c>
      <c r="B13" s="533" t="s">
        <v>430</v>
      </c>
      <c r="C13" s="533">
        <v>0</v>
      </c>
      <c r="D13" s="533" t="s">
        <v>429</v>
      </c>
      <c r="E13" s="533">
        <v>-7.2069462120000001</v>
      </c>
      <c r="F13" s="533">
        <v>6.2501650000000002E-3</v>
      </c>
      <c r="G13" s="533">
        <v>30</v>
      </c>
      <c r="H13" s="533">
        <v>1.8583799999999999E-4</v>
      </c>
      <c r="I13" s="533">
        <v>6.8515538000000001E-2</v>
      </c>
      <c r="J13" s="533">
        <v>0.16233214200000001</v>
      </c>
      <c r="K13" s="533">
        <v>-6.7539592549999998</v>
      </c>
      <c r="L13" s="533">
        <v>1.6572185999999999E-2</v>
      </c>
    </row>
    <row r="14" spans="1:12" x14ac:dyDescent="0.2">
      <c r="A14" s="533" t="s">
        <v>653</v>
      </c>
      <c r="B14" s="533" t="s">
        <v>430</v>
      </c>
      <c r="C14" s="533">
        <v>0</v>
      </c>
      <c r="D14" s="533" t="s">
        <v>429</v>
      </c>
      <c r="E14" s="533">
        <v>-7.1818093279999999</v>
      </c>
      <c r="F14" s="533">
        <v>5.9475960000000003E-3</v>
      </c>
      <c r="G14" s="533">
        <v>30</v>
      </c>
      <c r="H14" s="533">
        <v>-7.1600000000000006E-5</v>
      </c>
      <c r="I14" s="533">
        <v>1.1226287999999999E-2</v>
      </c>
      <c r="J14" s="533">
        <v>0.57735789900000001</v>
      </c>
      <c r="K14" s="533">
        <v>-6.7650160189999999</v>
      </c>
      <c r="L14" s="533">
        <v>1.3637264E-2</v>
      </c>
    </row>
    <row r="15" spans="1:12" x14ac:dyDescent="0.2">
      <c r="A15" s="422" t="s">
        <v>476</v>
      </c>
      <c r="B15" s="422" t="s">
        <v>430</v>
      </c>
      <c r="C15" s="422">
        <v>1</v>
      </c>
      <c r="D15" s="422" t="s">
        <v>418</v>
      </c>
      <c r="E15" s="422">
        <v>-7.4298109769999998</v>
      </c>
      <c r="F15" s="422">
        <v>4.9395899999999998E-3</v>
      </c>
      <c r="G15" s="422">
        <v>30</v>
      </c>
      <c r="H15" s="422">
        <v>8.3900000000000006E-5</v>
      </c>
      <c r="I15" s="422">
        <v>2.2383166999999999E-2</v>
      </c>
      <c r="J15" s="422">
        <v>0.43006251299999998</v>
      </c>
      <c r="K15" s="422">
        <v>-6.0850978539999998</v>
      </c>
      <c r="L15" s="422">
        <v>1.0195635999999999E-2</v>
      </c>
    </row>
    <row r="16" spans="1:12" x14ac:dyDescent="0.2">
      <c r="A16" s="422" t="s">
        <v>474</v>
      </c>
      <c r="B16" s="422" t="s">
        <v>430</v>
      </c>
      <c r="C16" s="422">
        <v>1</v>
      </c>
      <c r="D16" s="422" t="s">
        <v>418</v>
      </c>
      <c r="E16" s="422">
        <v>-7.4993522280000002</v>
      </c>
      <c r="F16" s="422">
        <v>6.0951180000000001E-3</v>
      </c>
      <c r="G16" s="422">
        <v>30</v>
      </c>
      <c r="H16" s="422">
        <v>5.94E-5</v>
      </c>
      <c r="I16" s="422">
        <v>7.3545069999999997E-3</v>
      </c>
      <c r="J16" s="422">
        <v>0.65228446200000001</v>
      </c>
      <c r="K16" s="422">
        <v>-6.0256209920000003</v>
      </c>
      <c r="L16" s="422">
        <v>1.1255372E-2</v>
      </c>
    </row>
    <row r="17" spans="1:12" x14ac:dyDescent="0.2">
      <c r="A17" s="422" t="s">
        <v>473</v>
      </c>
      <c r="B17" s="422" t="s">
        <v>430</v>
      </c>
      <c r="C17" s="422">
        <v>1</v>
      </c>
      <c r="D17" s="422" t="s">
        <v>418</v>
      </c>
      <c r="E17" s="422">
        <v>-7.5028341950000002</v>
      </c>
      <c r="F17" s="422">
        <v>4.7636199999999997E-3</v>
      </c>
      <c r="G17" s="422">
        <v>30</v>
      </c>
      <c r="H17" s="422">
        <v>-1.4906199999999999E-4</v>
      </c>
      <c r="I17" s="422">
        <v>7.5886433000000003E-2</v>
      </c>
      <c r="J17" s="422">
        <v>0.140641504</v>
      </c>
      <c r="K17" s="422">
        <v>-6.1841893040000002</v>
      </c>
      <c r="L17" s="422">
        <v>1.5176151000000001E-2</v>
      </c>
    </row>
    <row r="18" spans="1:12" x14ac:dyDescent="0.2">
      <c r="A18" s="533" t="s">
        <v>652</v>
      </c>
      <c r="B18" s="533" t="s">
        <v>430</v>
      </c>
      <c r="C18" s="533">
        <v>0</v>
      </c>
      <c r="D18" s="533" t="s">
        <v>429</v>
      </c>
      <c r="E18" s="533">
        <v>-7.4716120799999999</v>
      </c>
      <c r="F18" s="533">
        <v>8.6536670000000003E-3</v>
      </c>
      <c r="G18" s="533">
        <v>30</v>
      </c>
      <c r="H18" s="533">
        <v>-6.58E-5</v>
      </c>
      <c r="I18" s="533">
        <v>4.4798390000000002E-3</v>
      </c>
      <c r="J18" s="533">
        <v>0.72527587699999996</v>
      </c>
      <c r="K18" s="533">
        <v>-6.0319997729999999</v>
      </c>
      <c r="L18" s="533">
        <v>1.4041625E-2</v>
      </c>
    </row>
    <row r="19" spans="1:12" x14ac:dyDescent="0.2">
      <c r="A19" s="534" t="s">
        <v>651</v>
      </c>
      <c r="B19" s="534" t="s">
        <v>430</v>
      </c>
      <c r="C19" s="534">
        <v>0</v>
      </c>
      <c r="D19" s="534" t="s">
        <v>645</v>
      </c>
      <c r="E19" s="534">
        <v>-9.3573264589999994</v>
      </c>
      <c r="F19" s="534">
        <v>5.7896054000000002E-2</v>
      </c>
      <c r="G19" s="534">
        <v>30</v>
      </c>
      <c r="H19" s="534">
        <v>-6.458709E-3</v>
      </c>
      <c r="I19" s="534">
        <v>0.96448426700000001</v>
      </c>
      <c r="J19" s="534">
        <v>7.7199999999999996E-22</v>
      </c>
      <c r="K19" s="534">
        <v>-11.820237390000001</v>
      </c>
      <c r="L19" s="534">
        <v>0.10967278799999999</v>
      </c>
    </row>
    <row r="20" spans="1:12" x14ac:dyDescent="0.2">
      <c r="A20" s="533" t="s">
        <v>650</v>
      </c>
      <c r="B20" s="533" t="s">
        <v>430</v>
      </c>
      <c r="C20" s="533">
        <v>0</v>
      </c>
      <c r="D20" s="533" t="s">
        <v>429</v>
      </c>
      <c r="E20" s="533">
        <v>-7.6904652819999999</v>
      </c>
      <c r="F20" s="533">
        <v>5.4602799999999996E-3</v>
      </c>
      <c r="G20" s="533">
        <v>30</v>
      </c>
      <c r="H20" s="533">
        <v>1.2624700000000001E-4</v>
      </c>
      <c r="I20" s="533">
        <v>4.1430094000000001E-2</v>
      </c>
      <c r="J20" s="533">
        <v>0.28066471799999998</v>
      </c>
      <c r="K20" s="533">
        <v>-7.1554596039999998</v>
      </c>
      <c r="L20" s="533">
        <v>7.4969600000000004E-3</v>
      </c>
    </row>
    <row r="21" spans="1:12" x14ac:dyDescent="0.2">
      <c r="A21" s="533" t="s">
        <v>649</v>
      </c>
      <c r="B21" s="533" t="s">
        <v>430</v>
      </c>
      <c r="C21" s="533">
        <v>0</v>
      </c>
      <c r="D21" s="533" t="s">
        <v>429</v>
      </c>
      <c r="E21" s="533">
        <v>-7.7957764740000002</v>
      </c>
      <c r="F21" s="533">
        <v>5.3388280000000003E-3</v>
      </c>
      <c r="G21" s="533">
        <v>30</v>
      </c>
      <c r="H21" s="533">
        <v>-2.1299999999999999E-5</v>
      </c>
      <c r="I21" s="533">
        <v>1.2340999999999999E-3</v>
      </c>
      <c r="J21" s="533">
        <v>0.85378261700000002</v>
      </c>
      <c r="K21" s="533">
        <v>-7.2513693569999997</v>
      </c>
      <c r="L21" s="533">
        <v>9.1926990000000004E-3</v>
      </c>
    </row>
    <row r="22" spans="1:12" x14ac:dyDescent="0.2">
      <c r="A22" s="533" t="s">
        <v>648</v>
      </c>
      <c r="B22" s="533" t="s">
        <v>430</v>
      </c>
      <c r="C22" s="533">
        <v>0</v>
      </c>
      <c r="D22" s="533" t="s">
        <v>429</v>
      </c>
      <c r="E22" s="533">
        <v>-7.7734393300000004</v>
      </c>
      <c r="F22" s="533">
        <v>5.7025119999999999E-3</v>
      </c>
      <c r="G22" s="533">
        <v>30</v>
      </c>
      <c r="H22" s="533">
        <v>-2.15682E-4</v>
      </c>
      <c r="I22" s="533">
        <v>0.110866145</v>
      </c>
      <c r="J22" s="533">
        <v>7.2187567999999994E-2</v>
      </c>
      <c r="K22" s="533">
        <v>-7.1928827200000001</v>
      </c>
      <c r="L22" s="533">
        <v>1.2697538E-2</v>
      </c>
    </row>
    <row r="23" spans="1:12" x14ac:dyDescent="0.2">
      <c r="A23" s="422" t="s">
        <v>472</v>
      </c>
      <c r="B23" s="422" t="s">
        <v>430</v>
      </c>
      <c r="C23" s="422">
        <v>1</v>
      </c>
      <c r="D23" s="422" t="s">
        <v>418</v>
      </c>
      <c r="E23" s="422">
        <v>-7.9728019049999999</v>
      </c>
      <c r="F23" s="422">
        <v>4.81775E-3</v>
      </c>
      <c r="G23" s="422">
        <v>30</v>
      </c>
      <c r="H23" s="422">
        <v>4.49E-5</v>
      </c>
      <c r="I23" s="422">
        <v>6.7336660000000001E-3</v>
      </c>
      <c r="J23" s="422">
        <v>0.66640622199999999</v>
      </c>
      <c r="K23" s="422">
        <v>-7.0807812339999998</v>
      </c>
      <c r="L23" s="422">
        <v>5.2741669999999997E-3</v>
      </c>
    </row>
    <row r="24" spans="1:12" x14ac:dyDescent="0.2">
      <c r="A24" s="422" t="s">
        <v>470</v>
      </c>
      <c r="B24" s="422" t="s">
        <v>430</v>
      </c>
      <c r="C24" s="422">
        <v>1</v>
      </c>
      <c r="D24" s="422" t="s">
        <v>418</v>
      </c>
      <c r="E24" s="422">
        <v>-8.0221219139999995</v>
      </c>
      <c r="F24" s="422">
        <v>4.1729949999999997E-3</v>
      </c>
      <c r="G24" s="422">
        <v>30</v>
      </c>
      <c r="H24" s="422">
        <v>1.8628699999999999E-4</v>
      </c>
      <c r="I24" s="422">
        <v>0.15444395799999999</v>
      </c>
      <c r="J24" s="422">
        <v>3.1686915000000003E-2</v>
      </c>
      <c r="K24" s="422">
        <v>-7.2127059180000002</v>
      </c>
      <c r="L24" s="422">
        <v>9.2317519999999993E-3</v>
      </c>
    </row>
    <row r="25" spans="1:12" x14ac:dyDescent="0.2">
      <c r="A25" s="422" t="s">
        <v>469</v>
      </c>
      <c r="B25" s="422" t="s">
        <v>430</v>
      </c>
      <c r="C25" s="422">
        <v>1</v>
      </c>
      <c r="D25" s="422" t="s">
        <v>418</v>
      </c>
      <c r="E25" s="422">
        <v>-8.0010735240000006</v>
      </c>
      <c r="F25" s="422">
        <v>5.2700949999999998E-3</v>
      </c>
      <c r="G25" s="422">
        <v>30</v>
      </c>
      <c r="H25" s="422">
        <v>5.6700000000000003E-5</v>
      </c>
      <c r="I25" s="422">
        <v>8.9728689999999996E-3</v>
      </c>
      <c r="J25" s="422">
        <v>0.61854919399999997</v>
      </c>
      <c r="K25" s="422">
        <v>-7.2458556520000004</v>
      </c>
      <c r="L25" s="422">
        <v>8.2732190000000001E-3</v>
      </c>
    </row>
    <row r="26" spans="1:12" x14ac:dyDescent="0.2">
      <c r="A26" s="533" t="s">
        <v>647</v>
      </c>
      <c r="B26" s="533" t="s">
        <v>430</v>
      </c>
      <c r="C26" s="533">
        <v>0</v>
      </c>
      <c r="D26" s="533" t="s">
        <v>429</v>
      </c>
      <c r="E26" s="533">
        <v>-8.0208672869999997</v>
      </c>
      <c r="F26" s="533">
        <v>5.5164000000000003E-3</v>
      </c>
      <c r="G26" s="533">
        <v>30</v>
      </c>
      <c r="H26" s="533">
        <v>-3.5200000000000002E-5</v>
      </c>
      <c r="I26" s="533">
        <v>3.1571949999999998E-3</v>
      </c>
      <c r="J26" s="533">
        <v>0.76805862400000002</v>
      </c>
      <c r="K26" s="533">
        <v>-7.1528841700000001</v>
      </c>
      <c r="L26" s="533">
        <v>1.0173078E-2</v>
      </c>
    </row>
    <row r="27" spans="1:12" x14ac:dyDescent="0.2">
      <c r="A27" s="422" t="s">
        <v>468</v>
      </c>
      <c r="B27" s="422" t="s">
        <v>430</v>
      </c>
      <c r="C27" s="422">
        <v>1</v>
      </c>
      <c r="D27" s="422" t="s">
        <v>418</v>
      </c>
      <c r="E27" s="422">
        <v>-7.9440578180000001</v>
      </c>
      <c r="F27" s="422">
        <v>8.0124289999999997E-3</v>
      </c>
      <c r="G27" s="422">
        <v>30</v>
      </c>
      <c r="H27" s="422">
        <v>7.1500000000000003E-5</v>
      </c>
      <c r="I27" s="422">
        <v>6.1741840000000001E-3</v>
      </c>
      <c r="J27" s="422">
        <v>0.67980437999999999</v>
      </c>
      <c r="K27" s="422">
        <v>-6.2174532920000001</v>
      </c>
      <c r="L27" s="422">
        <v>1.1556163E-2</v>
      </c>
    </row>
    <row r="28" spans="1:12" x14ac:dyDescent="0.2">
      <c r="A28" s="422" t="s">
        <v>467</v>
      </c>
      <c r="B28" s="422" t="s">
        <v>430</v>
      </c>
      <c r="C28" s="422">
        <v>1</v>
      </c>
      <c r="D28" s="422" t="s">
        <v>418</v>
      </c>
      <c r="E28" s="422">
        <v>-7.9981862890000004</v>
      </c>
      <c r="F28" s="422">
        <v>7.8101170000000001E-3</v>
      </c>
      <c r="G28" s="422">
        <v>30</v>
      </c>
      <c r="H28" s="422">
        <v>-4.7838299999999998E-4</v>
      </c>
      <c r="I28" s="422">
        <v>0.29076218999999998</v>
      </c>
      <c r="J28" s="422">
        <v>2.1063309999999999E-3</v>
      </c>
      <c r="K28" s="422">
        <v>-6.4250227349999998</v>
      </c>
      <c r="L28" s="422">
        <v>1.3842543000000001E-2</v>
      </c>
    </row>
    <row r="29" spans="1:12" x14ac:dyDescent="0.2">
      <c r="A29" s="422" t="s">
        <v>466</v>
      </c>
      <c r="B29" s="422" t="s">
        <v>430</v>
      </c>
      <c r="C29" s="422">
        <v>1</v>
      </c>
      <c r="D29" s="422" t="s">
        <v>418</v>
      </c>
      <c r="E29" s="422">
        <v>-7.9758254669999999</v>
      </c>
      <c r="F29" s="422">
        <v>7.718323E-3</v>
      </c>
      <c r="G29" s="422">
        <v>30</v>
      </c>
      <c r="H29" s="422">
        <v>-3.39888E-4</v>
      </c>
      <c r="I29" s="422">
        <v>0.15028950899999999</v>
      </c>
      <c r="J29" s="422">
        <v>3.4284045999999999E-2</v>
      </c>
      <c r="K29" s="422">
        <v>-6.4232445570000003</v>
      </c>
      <c r="L29" s="422">
        <v>1.3905915E-2</v>
      </c>
    </row>
    <row r="30" spans="1:12" x14ac:dyDescent="0.2">
      <c r="A30" s="422" t="s">
        <v>465</v>
      </c>
      <c r="B30" s="422" t="s">
        <v>430</v>
      </c>
      <c r="C30" s="422">
        <v>1</v>
      </c>
      <c r="D30" s="422" t="s">
        <v>418</v>
      </c>
      <c r="E30" s="422">
        <v>-8.2908764799999997</v>
      </c>
      <c r="F30" s="422">
        <v>5.2004149999999999E-3</v>
      </c>
      <c r="G30" s="422">
        <v>30</v>
      </c>
      <c r="H30" s="422">
        <v>1.5995199999999999E-4</v>
      </c>
      <c r="I30" s="422">
        <v>7.3316822000000004E-2</v>
      </c>
      <c r="J30" s="422">
        <v>0.147826713</v>
      </c>
      <c r="K30" s="422">
        <v>-6.5656537190000002</v>
      </c>
      <c r="L30" s="422">
        <v>8.5353970000000001E-3</v>
      </c>
    </row>
    <row r="31" spans="1:12" x14ac:dyDescent="0.2">
      <c r="A31" s="422" t="s">
        <v>464</v>
      </c>
      <c r="B31" s="422" t="s">
        <v>430</v>
      </c>
      <c r="C31" s="422">
        <v>1</v>
      </c>
      <c r="D31" s="422" t="s">
        <v>418</v>
      </c>
      <c r="E31" s="422">
        <v>-8.6120093250000007</v>
      </c>
      <c r="F31" s="422">
        <v>6.2459680000000002E-3</v>
      </c>
      <c r="G31" s="422">
        <v>30</v>
      </c>
      <c r="H31" s="422">
        <v>-6.4999999999999994E-5</v>
      </c>
      <c r="I31" s="422">
        <v>8.3846839999999999E-3</v>
      </c>
      <c r="J31" s="422">
        <v>0.63034581499999998</v>
      </c>
      <c r="K31" s="422">
        <v>-6.3946997430000003</v>
      </c>
      <c r="L31" s="422">
        <v>1.0206498E-2</v>
      </c>
    </row>
    <row r="32" spans="1:12" x14ac:dyDescent="0.2">
      <c r="A32" s="422" t="s">
        <v>463</v>
      </c>
      <c r="B32" s="422" t="s">
        <v>430</v>
      </c>
      <c r="C32" s="422">
        <v>1</v>
      </c>
      <c r="D32" s="422" t="s">
        <v>418</v>
      </c>
      <c r="E32" s="422">
        <v>-8.6250558749999993</v>
      </c>
      <c r="F32" s="422">
        <v>5.2828759999999997E-3</v>
      </c>
      <c r="G32" s="422">
        <v>30</v>
      </c>
      <c r="H32" s="422">
        <v>-1.16086E-4</v>
      </c>
      <c r="I32" s="422">
        <v>3.7421459999999997E-2</v>
      </c>
      <c r="J32" s="422">
        <v>0.30572062100000003</v>
      </c>
      <c r="K32" s="422">
        <v>-6.338017625</v>
      </c>
      <c r="L32" s="422">
        <v>1.6715644000000002E-2</v>
      </c>
    </row>
    <row r="33" spans="1:12" x14ac:dyDescent="0.2">
      <c r="A33" s="422" t="s">
        <v>462</v>
      </c>
      <c r="B33" s="422" t="s">
        <v>430</v>
      </c>
      <c r="C33" s="422">
        <v>1</v>
      </c>
      <c r="D33" s="422" t="s">
        <v>418</v>
      </c>
      <c r="E33" s="422">
        <v>-5.3164777729999999</v>
      </c>
      <c r="F33" s="422">
        <v>7.1612189999999999E-3</v>
      </c>
      <c r="G33" s="422">
        <v>29</v>
      </c>
      <c r="H33" s="422">
        <v>-2.0249800000000001E-4</v>
      </c>
      <c r="I33" s="422">
        <v>6.3997009999999993E-2</v>
      </c>
      <c r="J33" s="422">
        <v>0.18548574500000001</v>
      </c>
      <c r="K33" s="422">
        <v>-6.234284165</v>
      </c>
      <c r="L33" s="422">
        <v>1.6493595E-2</v>
      </c>
    </row>
    <row r="34" spans="1:12" x14ac:dyDescent="0.2">
      <c r="A34" s="422" t="s">
        <v>461</v>
      </c>
      <c r="B34" s="422" t="s">
        <v>430</v>
      </c>
      <c r="C34" s="422">
        <v>1</v>
      </c>
      <c r="D34" s="422" t="s">
        <v>418</v>
      </c>
      <c r="E34" s="422">
        <v>-5.3735205019999999</v>
      </c>
      <c r="F34" s="422">
        <v>4.3432360000000003E-3</v>
      </c>
      <c r="G34" s="422">
        <v>30</v>
      </c>
      <c r="H34" s="422">
        <v>-2.3900000000000002E-5</v>
      </c>
      <c r="I34" s="422">
        <v>2.337755E-3</v>
      </c>
      <c r="J34" s="422">
        <v>0.799711065</v>
      </c>
      <c r="K34" s="422">
        <v>-6.2722474970000004</v>
      </c>
      <c r="L34" s="422">
        <v>9.0702920000000006E-3</v>
      </c>
    </row>
    <row r="35" spans="1:12" x14ac:dyDescent="0.2">
      <c r="A35" s="422" t="s">
        <v>459</v>
      </c>
      <c r="B35" s="422" t="s">
        <v>430</v>
      </c>
      <c r="C35" s="422">
        <v>1</v>
      </c>
      <c r="D35" s="422" t="s">
        <v>418</v>
      </c>
      <c r="E35" s="422">
        <v>-5.4526570259999998</v>
      </c>
      <c r="F35" s="422">
        <v>8.1737300000000006E-3</v>
      </c>
      <c r="G35" s="422">
        <v>30</v>
      </c>
      <c r="H35" s="422">
        <v>-6.8910900000000003E-4</v>
      </c>
      <c r="I35" s="422">
        <v>0.55085510400000004</v>
      </c>
      <c r="J35" s="422">
        <v>2.6699999999999998E-6</v>
      </c>
      <c r="K35" s="422">
        <v>-6.2908584750000003</v>
      </c>
      <c r="L35" s="422">
        <v>1.7141426000000001E-2</v>
      </c>
    </row>
    <row r="36" spans="1:12" x14ac:dyDescent="0.2">
      <c r="A36" s="533" t="s">
        <v>646</v>
      </c>
      <c r="B36" s="533" t="s">
        <v>430</v>
      </c>
      <c r="C36" s="533">
        <v>0</v>
      </c>
      <c r="D36" s="533" t="s">
        <v>645</v>
      </c>
      <c r="E36" s="533">
        <v>-7.4994976419999997</v>
      </c>
      <c r="F36" s="533">
        <v>8.4466579999999993E-3</v>
      </c>
      <c r="G36" s="533">
        <v>29</v>
      </c>
      <c r="H36" s="533">
        <v>1.12976E-4</v>
      </c>
      <c r="I36" s="533">
        <v>1.3326855E-2</v>
      </c>
      <c r="J36" s="533">
        <v>0.55095629599999996</v>
      </c>
      <c r="K36" s="533">
        <v>-6.0886430799999998</v>
      </c>
      <c r="L36" s="533">
        <v>1.1215998E-2</v>
      </c>
    </row>
    <row r="37" spans="1:12" x14ac:dyDescent="0.2">
      <c r="A37" s="422" t="s">
        <v>455</v>
      </c>
      <c r="B37" s="422" t="s">
        <v>430</v>
      </c>
      <c r="C37" s="422">
        <v>1</v>
      </c>
      <c r="D37" s="422" t="s">
        <v>418</v>
      </c>
      <c r="E37" s="422">
        <v>-8.0888820760000009</v>
      </c>
      <c r="F37" s="422">
        <v>5.9015910000000003E-3</v>
      </c>
      <c r="G37" s="422">
        <v>30</v>
      </c>
      <c r="H37" s="422">
        <v>-2.4702600000000002E-4</v>
      </c>
      <c r="I37" s="422">
        <v>0.13578382999999999</v>
      </c>
      <c r="J37" s="422">
        <v>4.5105549000000002E-2</v>
      </c>
      <c r="K37" s="422">
        <v>-5.8003805039999996</v>
      </c>
      <c r="L37" s="422">
        <v>8.4263129999999995E-3</v>
      </c>
    </row>
    <row r="38" spans="1:12" x14ac:dyDescent="0.2">
      <c r="A38" s="422" t="s">
        <v>458</v>
      </c>
      <c r="B38" s="422" t="s">
        <v>430</v>
      </c>
      <c r="C38" s="422">
        <v>1</v>
      </c>
      <c r="D38" s="422" t="s">
        <v>418</v>
      </c>
      <c r="E38" s="422">
        <v>-8.1541707480000003</v>
      </c>
      <c r="F38" s="422">
        <v>6.285466E-3</v>
      </c>
      <c r="G38" s="422">
        <v>30</v>
      </c>
      <c r="H38" s="422">
        <v>-2.5066900000000002E-4</v>
      </c>
      <c r="I38" s="422">
        <v>0.12326185000000001</v>
      </c>
      <c r="J38" s="422">
        <v>5.7128084000000003E-2</v>
      </c>
      <c r="K38" s="422">
        <v>-5.8802188280000003</v>
      </c>
      <c r="L38" s="422">
        <v>1.1791220999999999E-2</v>
      </c>
    </row>
    <row r="39" spans="1:12" x14ac:dyDescent="0.2">
      <c r="A39" s="422" t="s">
        <v>457</v>
      </c>
      <c r="B39" s="422" t="s">
        <v>430</v>
      </c>
      <c r="C39" s="422">
        <v>1</v>
      </c>
      <c r="D39" s="422" t="s">
        <v>418</v>
      </c>
      <c r="E39" s="422">
        <v>-8.1602397230000001</v>
      </c>
      <c r="F39" s="422">
        <v>5.9533659999999999E-3</v>
      </c>
      <c r="G39" s="422">
        <v>30</v>
      </c>
      <c r="H39" s="422">
        <v>-2.4763900000000002E-4</v>
      </c>
      <c r="I39" s="422">
        <v>0.13409606099999999</v>
      </c>
      <c r="J39" s="422">
        <v>4.6565960000000003E-2</v>
      </c>
      <c r="K39" s="422">
        <v>-5.91740362</v>
      </c>
      <c r="L39" s="422">
        <v>1.1969601999999999E-2</v>
      </c>
    </row>
    <row r="40" spans="1:12" x14ac:dyDescent="0.2">
      <c r="A40" s="533" t="s">
        <v>644</v>
      </c>
      <c r="B40" s="533" t="s">
        <v>430</v>
      </c>
      <c r="C40" s="533">
        <v>0</v>
      </c>
      <c r="D40" s="533" t="s">
        <v>429</v>
      </c>
      <c r="E40" s="533">
        <v>-5.2707251550000001</v>
      </c>
      <c r="F40" s="533">
        <v>5.1154249999999998E-3</v>
      </c>
      <c r="G40" s="533">
        <v>30</v>
      </c>
      <c r="H40" s="533">
        <v>-6.2299999999999996E-6</v>
      </c>
      <c r="I40" s="533">
        <v>1.15019E-4</v>
      </c>
      <c r="J40" s="533">
        <v>0.95514497499999995</v>
      </c>
      <c r="K40" s="533">
        <v>-6.2680694069999996</v>
      </c>
      <c r="L40" s="533">
        <v>9.8845140000000005E-3</v>
      </c>
    </row>
    <row r="41" spans="1:12" x14ac:dyDescent="0.2">
      <c r="A41" s="422" t="s">
        <v>453</v>
      </c>
      <c r="B41" s="422" t="s">
        <v>430</v>
      </c>
      <c r="C41" s="422">
        <v>1</v>
      </c>
      <c r="D41" s="422" t="s">
        <v>418</v>
      </c>
      <c r="E41" s="422">
        <v>-7.8415394640000002</v>
      </c>
      <c r="F41" s="422">
        <v>7.5957990000000003E-3</v>
      </c>
      <c r="G41" s="422">
        <v>30</v>
      </c>
      <c r="H41" s="422">
        <v>-4.4563300000000002E-4</v>
      </c>
      <c r="I41" s="422">
        <v>0.26675270200000001</v>
      </c>
      <c r="J41" s="422">
        <v>3.4782680000000001E-3</v>
      </c>
      <c r="K41" s="422">
        <v>-5.7512480190000002</v>
      </c>
      <c r="L41" s="422">
        <v>9.1951770000000006E-3</v>
      </c>
    </row>
    <row r="42" spans="1:12" x14ac:dyDescent="0.2">
      <c r="A42" s="422" t="s">
        <v>451</v>
      </c>
      <c r="B42" s="422" t="s">
        <v>430</v>
      </c>
      <c r="C42" s="422">
        <v>1</v>
      </c>
      <c r="D42" s="422" t="s">
        <v>450</v>
      </c>
      <c r="E42" s="422">
        <v>-7.8818254940000001</v>
      </c>
      <c r="F42" s="422">
        <v>5.6858009999999999E-3</v>
      </c>
      <c r="G42" s="422">
        <v>28</v>
      </c>
      <c r="H42" s="422">
        <v>1.5651200000000001E-4</v>
      </c>
      <c r="I42" s="422">
        <v>5.1272453000000003E-2</v>
      </c>
      <c r="J42" s="422">
        <v>0.24658822899999999</v>
      </c>
      <c r="K42" s="422">
        <v>-5.8718310499999999</v>
      </c>
      <c r="L42" s="422">
        <v>9.4960089999999997E-3</v>
      </c>
    </row>
    <row r="43" spans="1:12" x14ac:dyDescent="0.2">
      <c r="A43" s="422" t="s">
        <v>449</v>
      </c>
      <c r="B43" s="422" t="s">
        <v>430</v>
      </c>
      <c r="C43" s="422">
        <v>1</v>
      </c>
      <c r="D43" s="422" t="s">
        <v>418</v>
      </c>
      <c r="E43" s="422">
        <v>-7.867111382</v>
      </c>
      <c r="F43" s="422">
        <v>7.0685119999999999E-3</v>
      </c>
      <c r="G43" s="422">
        <v>30</v>
      </c>
      <c r="H43" s="422">
        <v>-3.5792899999999999E-4</v>
      </c>
      <c r="I43" s="422">
        <v>0.19871941500000001</v>
      </c>
      <c r="J43" s="422">
        <v>1.3552572000000001E-2</v>
      </c>
      <c r="K43" s="422">
        <v>-5.8986663339999996</v>
      </c>
      <c r="L43" s="422">
        <v>1.5460968E-2</v>
      </c>
    </row>
    <row r="44" spans="1:12" x14ac:dyDescent="0.2">
      <c r="A44" s="533" t="s">
        <v>446</v>
      </c>
      <c r="B44" s="533" t="s">
        <v>430</v>
      </c>
      <c r="C44" s="533">
        <v>1</v>
      </c>
      <c r="D44" s="533" t="s">
        <v>429</v>
      </c>
      <c r="E44" s="533">
        <v>-7.9093480669999998</v>
      </c>
      <c r="F44" s="533">
        <v>5.8010819999999999E-3</v>
      </c>
      <c r="G44" s="533">
        <v>30</v>
      </c>
      <c r="H44" s="533">
        <v>2.5967999999999998E-4</v>
      </c>
      <c r="I44" s="533">
        <v>0.15529654300000001</v>
      </c>
      <c r="J44" s="533">
        <v>3.1178317000000001E-2</v>
      </c>
      <c r="K44" s="533">
        <v>-6.3905943069999998</v>
      </c>
      <c r="L44" s="533">
        <v>6.5505959999999997E-3</v>
      </c>
    </row>
    <row r="45" spans="1:12" x14ac:dyDescent="0.2">
      <c r="A45" s="422" t="s">
        <v>444</v>
      </c>
      <c r="B45" s="422" t="s">
        <v>430</v>
      </c>
      <c r="C45" s="422">
        <v>1</v>
      </c>
      <c r="D45" s="422" t="s">
        <v>418</v>
      </c>
      <c r="E45" s="422">
        <v>-7.9586929150000003</v>
      </c>
      <c r="F45" s="422">
        <v>5.2569189999999997E-3</v>
      </c>
      <c r="G45" s="422">
        <v>30</v>
      </c>
      <c r="H45" s="422">
        <v>3.82E-5</v>
      </c>
      <c r="I45" s="422">
        <v>4.0963040000000003E-3</v>
      </c>
      <c r="J45" s="422">
        <v>0.73686742299999997</v>
      </c>
      <c r="K45" s="422">
        <v>-6.5062070790000002</v>
      </c>
      <c r="L45" s="422">
        <v>1.1438999E-2</v>
      </c>
    </row>
    <row r="46" spans="1:12" x14ac:dyDescent="0.2">
      <c r="A46" s="422" t="s">
        <v>443</v>
      </c>
      <c r="B46" s="422" t="s">
        <v>430</v>
      </c>
      <c r="C46" s="422">
        <v>1</v>
      </c>
      <c r="D46" s="422" t="s">
        <v>418</v>
      </c>
      <c r="E46" s="422">
        <v>-7.9737671859999999</v>
      </c>
      <c r="F46" s="422">
        <v>6.0962200000000003E-3</v>
      </c>
      <c r="G46" s="422">
        <v>30</v>
      </c>
      <c r="H46" s="422">
        <v>3.8399999999999997E-6</v>
      </c>
      <c r="I46" s="422">
        <v>3.0800000000000003E-5</v>
      </c>
      <c r="J46" s="422">
        <v>0.97677658300000003</v>
      </c>
      <c r="K46" s="422">
        <v>-6.5408709829999996</v>
      </c>
      <c r="L46" s="422">
        <v>1.7942238999999999E-2</v>
      </c>
    </row>
    <row r="47" spans="1:12" x14ac:dyDescent="0.2">
      <c r="A47" s="422" t="s">
        <v>441</v>
      </c>
      <c r="B47" s="422" t="s">
        <v>430</v>
      </c>
      <c r="C47" s="422">
        <v>1</v>
      </c>
      <c r="D47" s="422" t="s">
        <v>418</v>
      </c>
      <c r="E47" s="422">
        <v>-8.1492722289999993</v>
      </c>
      <c r="F47" s="422">
        <v>5.4687549999999996E-3</v>
      </c>
      <c r="G47" s="422">
        <v>30</v>
      </c>
      <c r="H47" s="422">
        <v>8.7600000000000002E-5</v>
      </c>
      <c r="I47" s="422">
        <v>1.9880256999999998E-2</v>
      </c>
      <c r="J47" s="422">
        <v>0.45737026800000002</v>
      </c>
      <c r="K47" s="422">
        <v>-6.2537315700000002</v>
      </c>
      <c r="L47" s="422">
        <v>8.841224E-3</v>
      </c>
    </row>
    <row r="48" spans="1:12" x14ac:dyDescent="0.2">
      <c r="A48" s="422" t="s">
        <v>440</v>
      </c>
      <c r="B48" s="422" t="s">
        <v>430</v>
      </c>
      <c r="C48" s="422">
        <v>1</v>
      </c>
      <c r="D48" s="422" t="s">
        <v>418</v>
      </c>
      <c r="E48" s="422">
        <v>-8.1384413519999992</v>
      </c>
      <c r="F48" s="422">
        <v>5.6925070000000003E-3</v>
      </c>
      <c r="G48" s="422">
        <v>30</v>
      </c>
      <c r="H48" s="422">
        <v>3.1832099999999999E-4</v>
      </c>
      <c r="I48" s="422">
        <v>0.24234017799999999</v>
      </c>
      <c r="J48" s="422">
        <v>5.7205609999999999E-3</v>
      </c>
      <c r="K48" s="422">
        <v>-6.2059097510000001</v>
      </c>
      <c r="L48" s="422">
        <v>7.7620559999999998E-3</v>
      </c>
    </row>
    <row r="49" spans="1:12" x14ac:dyDescent="0.2">
      <c r="A49" s="422" t="s">
        <v>438</v>
      </c>
      <c r="B49" s="422" t="s">
        <v>430</v>
      </c>
      <c r="C49" s="422">
        <v>1</v>
      </c>
      <c r="D49" s="422" t="s">
        <v>418</v>
      </c>
      <c r="E49" s="422">
        <v>-8.1647362040000004</v>
      </c>
      <c r="F49" s="422">
        <v>5.1605380000000001E-3</v>
      </c>
      <c r="G49" s="422">
        <v>30</v>
      </c>
      <c r="H49" s="422">
        <v>8.8899999999999996E-6</v>
      </c>
      <c r="I49" s="422">
        <v>2.3000900000000001E-4</v>
      </c>
      <c r="J49" s="422">
        <v>0.93660111099999999</v>
      </c>
      <c r="K49" s="422">
        <v>-6.285358263</v>
      </c>
      <c r="L49" s="422">
        <v>1.3267428E-2</v>
      </c>
    </row>
    <row r="50" spans="1:12" x14ac:dyDescent="0.2">
      <c r="A50" s="422" t="s">
        <v>435</v>
      </c>
      <c r="B50" s="422" t="s">
        <v>430</v>
      </c>
      <c r="C50" s="422">
        <v>1</v>
      </c>
      <c r="D50" s="422" t="s">
        <v>418</v>
      </c>
      <c r="E50" s="422">
        <v>-8.2525477590000005</v>
      </c>
      <c r="F50" s="422">
        <v>7.7054979999999999E-3</v>
      </c>
      <c r="G50" s="422">
        <v>30</v>
      </c>
      <c r="H50" s="422">
        <v>-3.5522100000000002E-4</v>
      </c>
      <c r="I50" s="422">
        <v>0.164701604</v>
      </c>
      <c r="J50" s="422">
        <v>2.6072002E-2</v>
      </c>
      <c r="K50" s="422">
        <v>-6.188945683</v>
      </c>
      <c r="L50" s="422">
        <v>1.1068398E-2</v>
      </c>
    </row>
    <row r="51" spans="1:12" x14ac:dyDescent="0.2">
      <c r="A51" s="534" t="s">
        <v>434</v>
      </c>
      <c r="B51" s="534" t="s">
        <v>430</v>
      </c>
      <c r="C51" s="534">
        <v>1</v>
      </c>
      <c r="D51" s="534" t="s">
        <v>433</v>
      </c>
      <c r="E51" s="534">
        <v>2.3189541400000002</v>
      </c>
      <c r="F51" s="534">
        <v>7.9639589999999996E-3</v>
      </c>
      <c r="G51" s="534">
        <v>30</v>
      </c>
      <c r="H51" s="534">
        <v>-1.79369E-4</v>
      </c>
      <c r="I51" s="534">
        <v>3.9313074000000003E-2</v>
      </c>
      <c r="J51" s="534">
        <v>0.293568528</v>
      </c>
      <c r="K51" s="534">
        <v>-2.8109471610000001</v>
      </c>
      <c r="L51" s="534">
        <v>2.1680358E-2</v>
      </c>
    </row>
    <row r="52" spans="1:12" x14ac:dyDescent="0.2">
      <c r="A52" s="533" t="s">
        <v>643</v>
      </c>
      <c r="B52" s="533" t="s">
        <v>430</v>
      </c>
      <c r="C52" s="533">
        <v>0</v>
      </c>
      <c r="D52" s="533" t="s">
        <v>429</v>
      </c>
      <c r="E52" s="533">
        <v>-8.2282638220000006</v>
      </c>
      <c r="F52" s="533">
        <v>5.5199359999999996E-3</v>
      </c>
      <c r="G52" s="533">
        <v>29</v>
      </c>
      <c r="H52" s="533">
        <v>-1.5038599999999999E-4</v>
      </c>
      <c r="I52" s="533">
        <v>5.4580233999999998E-2</v>
      </c>
      <c r="J52" s="533">
        <v>0.22256722300000001</v>
      </c>
      <c r="K52" s="533">
        <v>-6.381718996</v>
      </c>
      <c r="L52" s="533">
        <v>1.3581724999999999E-2</v>
      </c>
    </row>
    <row r="53" spans="1:12" x14ac:dyDescent="0.2">
      <c r="A53" s="533" t="s">
        <v>431</v>
      </c>
      <c r="B53" s="533" t="s">
        <v>430</v>
      </c>
      <c r="C53" s="533">
        <v>1</v>
      </c>
      <c r="D53" s="533" t="s">
        <v>429</v>
      </c>
      <c r="E53" s="533">
        <v>-8.738426875</v>
      </c>
      <c r="F53" s="533">
        <v>5.3810680000000001E-3</v>
      </c>
      <c r="G53" s="533">
        <v>30</v>
      </c>
      <c r="H53" s="533">
        <v>1.43991E-4</v>
      </c>
      <c r="I53" s="533">
        <v>5.5492635999999998E-2</v>
      </c>
      <c r="J53" s="533">
        <v>0.21014611699999999</v>
      </c>
      <c r="K53" s="533">
        <v>-5.7235457600000004</v>
      </c>
      <c r="L53" s="533">
        <v>1.149642E-2</v>
      </c>
    </row>
    <row r="54" spans="1:12" x14ac:dyDescent="0.2">
      <c r="A54" s="533" t="s">
        <v>642</v>
      </c>
      <c r="B54" s="533" t="s">
        <v>430</v>
      </c>
      <c r="C54" s="533">
        <v>0</v>
      </c>
      <c r="D54" s="533" t="s">
        <v>429</v>
      </c>
      <c r="E54" s="533">
        <v>-1.861464877</v>
      </c>
      <c r="F54" s="533">
        <v>6.9806920000000001E-3</v>
      </c>
      <c r="G54" s="533">
        <v>30</v>
      </c>
      <c r="H54" s="533">
        <v>-6.8200000000000004E-5</v>
      </c>
      <c r="I54" s="533">
        <v>7.4081449999999997E-3</v>
      </c>
      <c r="J54" s="533">
        <v>0.65109816300000001</v>
      </c>
      <c r="K54" s="533">
        <v>-5.3527041329999996</v>
      </c>
      <c r="L54" s="533">
        <v>1.6177906999999998E-2</v>
      </c>
    </row>
    <row r="55" spans="1:12" x14ac:dyDescent="0.2">
      <c r="A55" s="533" t="s">
        <v>641</v>
      </c>
      <c r="B55" s="533" t="s">
        <v>430</v>
      </c>
      <c r="C55" s="533">
        <v>0</v>
      </c>
      <c r="D55" s="533" t="s">
        <v>429</v>
      </c>
      <c r="E55" s="533">
        <v>-8.7078080359999994</v>
      </c>
      <c r="F55" s="533">
        <v>7.9246409999999996E-3</v>
      </c>
      <c r="G55" s="533">
        <v>30</v>
      </c>
      <c r="H55" s="533">
        <v>-6.69E-5</v>
      </c>
      <c r="I55" s="533">
        <v>5.5238930000000002E-3</v>
      </c>
      <c r="J55" s="533">
        <v>0.69629528900000004</v>
      </c>
      <c r="K55" s="533">
        <v>-5.5434715590000003</v>
      </c>
      <c r="L55" s="533">
        <v>1.4957043999999999E-2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8C0956F06232043AC1B86817BBEA1E5" ma:contentTypeVersion="7" ma:contentTypeDescription="Create a new document." ma:contentTypeScope="" ma:versionID="4c35b5c12c6ca997c429f322f444526e">
  <xsd:schema xmlns:xsd="http://www.w3.org/2001/XMLSchema" xmlns:xs="http://www.w3.org/2001/XMLSchema" xmlns:p="http://schemas.microsoft.com/office/2006/metadata/properties" xmlns:ns3="ac21dd06-67de-43d3-98e7-0f255dc0f27b" xmlns:ns4="467af2bf-e6ae-46af-8fda-9e41e3ba6f6f" targetNamespace="http://schemas.microsoft.com/office/2006/metadata/properties" ma:root="true" ma:fieldsID="1b6c818cef6694a71f74a59f6db633a4" ns3:_="" ns4:_="">
    <xsd:import namespace="ac21dd06-67de-43d3-98e7-0f255dc0f27b"/>
    <xsd:import namespace="467af2bf-e6ae-46af-8fda-9e41e3ba6f6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21dd06-67de-43d3-98e7-0f255dc0f27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7af2bf-e6ae-46af-8fda-9e41e3ba6f6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67af2bf-e6ae-46af-8fda-9e41e3ba6f6f" xsi:nil="true"/>
  </documentManagement>
</p:properties>
</file>

<file path=customXml/itemProps1.xml><?xml version="1.0" encoding="utf-8"?>
<ds:datastoreItem xmlns:ds="http://schemas.openxmlformats.org/officeDocument/2006/customXml" ds:itemID="{187335B1-305D-44A4-A9D9-5EF252148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21dd06-67de-43d3-98e7-0f255dc0f27b"/>
    <ds:schemaRef ds:uri="467af2bf-e6ae-46af-8fda-9e41e3ba6f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37D09F-A432-4857-B33E-ADA1D84705DB}">
  <ds:schemaRefs>
    <ds:schemaRef ds:uri="http://schemas.microsoft.com/sharepoint/v3/contenttype/forms"/>
  </ds:schemaRefs>
</ds:datastoreItem>
</file>

<file path=customXml/itemProps3.xml><?xml version="1.0" encoding="utf-8"?>
<ds:datastoreItem xmlns:ds="http://schemas.openxmlformats.org/officeDocument/2006/customXml" ds:itemID="{A8F46923-F472-4E09-9C15-1B84763B6DDC}">
  <ds:schemaRefs>
    <ds:schemaRef ds:uri="http://schemas.microsoft.com/office/2006/metadata/properties"/>
    <ds:schemaRef ds:uri="http://schemas.microsoft.com/office/infopath/2007/PartnerControls"/>
    <ds:schemaRef ds:uri="467af2bf-e6ae-46af-8fda-9e41e3ba6f6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D17Osw and d18Osw</vt:lpstr>
      <vt:lpstr>Triple_Raw</vt:lpstr>
      <vt:lpstr>Triple_Standards</vt:lpstr>
      <vt:lpstr>Triple_Calibrated</vt:lpstr>
      <vt:lpstr>Triple_Statistics</vt:lpstr>
      <vt:lpstr>Clumped_Raw</vt:lpstr>
      <vt:lpstr>Clumped_Statistics</vt:lpstr>
      <vt:lpstr>Clumped_graphs</vt:lpstr>
      <vt:lpstr>d18o comparison between lab</vt:lpstr>
      <vt:lpstr>need_clumped_calibrate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Cullen</dc:creator>
  <cp:keywords/>
  <dc:description/>
  <cp:lastModifiedBy>Czwakiel, Nicole</cp:lastModifiedBy>
  <cp:revision/>
  <dcterms:created xsi:type="dcterms:W3CDTF">2023-07-21T15:43:31Z</dcterms:created>
  <dcterms:modified xsi:type="dcterms:W3CDTF">2025-08-13T15:42:58Z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0x010100A8C0956F06232043AC1B86817BBEA1E5</vt:lpwstr>
  </property>
</Properties>
</file>