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75" windowWidth="19020" windowHeight="13170" activeTab="3"/>
  </bookViews>
  <sheets>
    <sheet name="Summary" sheetId="7" r:id="rId1"/>
    <sheet name="CIELAB" sheetId="6" r:id="rId2"/>
    <sheet name="CIE94" sheetId="5" r:id="rId3"/>
    <sheet name="CMC" sheetId="3" r:id="rId4"/>
    <sheet name="CIEDE2000" sheetId="1" r:id="rId5"/>
  </sheets>
  <calcPr calcId="125725"/>
</workbook>
</file>

<file path=xl/calcChain.xml><?xml version="1.0" encoding="utf-8"?>
<calcChain xmlns="http://schemas.openxmlformats.org/spreadsheetml/2006/main">
  <c r="C8" i="5"/>
  <c r="C20" s="1"/>
  <c r="C9"/>
  <c r="C10"/>
  <c r="C11" s="1"/>
  <c r="C13"/>
  <c r="C14"/>
  <c r="C15"/>
  <c r="C16" s="1"/>
  <c r="C18"/>
  <c r="C8" i="1"/>
  <c r="C28" s="1"/>
  <c r="C9"/>
  <c r="C10"/>
  <c r="C11" s="1"/>
  <c r="C16"/>
  <c r="C17"/>
  <c r="C18"/>
  <c r="C22"/>
  <c r="C32"/>
  <c r="C8" i="6"/>
  <c r="C9"/>
  <c r="C12" s="1"/>
  <c r="C10"/>
  <c r="C11"/>
  <c r="C13"/>
  <c r="C18" s="1"/>
  <c r="C14"/>
  <c r="C15"/>
  <c r="C17"/>
  <c r="C8" i="3"/>
  <c r="C9"/>
  <c r="C10"/>
  <c r="C12"/>
  <c r="C23" s="1"/>
  <c r="C13"/>
  <c r="C14"/>
  <c r="C17" s="1"/>
  <c r="C18" s="1"/>
  <c r="C15"/>
  <c r="C16"/>
  <c r="C24"/>
  <c r="C21" i="6" l="1"/>
  <c r="C11" i="3"/>
  <c r="C19"/>
  <c r="C16" i="6"/>
  <c r="C19" s="1"/>
  <c r="C19" i="1"/>
  <c r="C17" i="5"/>
  <c r="C12"/>
  <c r="C19"/>
  <c r="C23"/>
  <c r="C24"/>
  <c r="C20" i="1"/>
  <c r="C21" i="3"/>
  <c r="C25"/>
  <c r="C20"/>
  <c r="C22"/>
  <c r="C21" i="5"/>
  <c r="C22" s="1"/>
  <c r="C25" s="1"/>
  <c r="C17" i="7" s="1"/>
  <c r="C20" i="6"/>
  <c r="C16" i="7" s="1"/>
  <c r="C13" i="1"/>
  <c r="C22" i="6" l="1"/>
  <c r="C21" i="1"/>
  <c r="C12"/>
  <c r="C14" s="1"/>
  <c r="C26" i="3"/>
  <c r="C27" s="1"/>
  <c r="C18" i="7" s="1"/>
  <c r="C15" i="1" l="1"/>
  <c r="C23"/>
  <c r="C24"/>
  <c r="C26" s="1"/>
  <c r="C25"/>
  <c r="C36" s="1"/>
  <c r="C29"/>
  <c r="C33"/>
  <c r="C27" l="1"/>
  <c r="C30" s="1"/>
  <c r="C38" s="1"/>
  <c r="C19" i="7" s="1"/>
  <c r="C31" i="1"/>
  <c r="C34" s="1"/>
  <c r="C35"/>
  <c r="C37" s="1"/>
</calcChain>
</file>

<file path=xl/sharedStrings.xml><?xml version="1.0" encoding="utf-8"?>
<sst xmlns="http://schemas.openxmlformats.org/spreadsheetml/2006/main" count="138" uniqueCount="59">
  <si>
    <t>Sample</t>
  </si>
  <si>
    <t>L</t>
  </si>
  <si>
    <t>a</t>
  </si>
  <si>
    <t>b</t>
  </si>
  <si>
    <t>Reference</t>
  </si>
  <si>
    <t>G</t>
  </si>
  <si>
    <t>a'</t>
  </si>
  <si>
    <t>C'</t>
  </si>
  <si>
    <t>b'</t>
  </si>
  <si>
    <t>C</t>
  </si>
  <si>
    <t>T</t>
  </si>
  <si>
    <t>h'</t>
  </si>
  <si>
    <t>Dq</t>
  </si>
  <si>
    <t>mean h'</t>
  </si>
  <si>
    <t>mean C'</t>
  </si>
  <si>
    <r>
      <t>D</t>
    </r>
    <r>
      <rPr>
        <sz val="8"/>
        <rFont val="Arial"/>
        <family val="2"/>
      </rPr>
      <t>L</t>
    </r>
  </si>
  <si>
    <r>
      <t>D</t>
    </r>
    <r>
      <rPr>
        <sz val="8"/>
        <rFont val="Arial"/>
        <family val="2"/>
      </rPr>
      <t>C</t>
    </r>
  </si>
  <si>
    <r>
      <t>D</t>
    </r>
    <r>
      <rPr>
        <sz val="8"/>
        <rFont val="Arial"/>
        <family val="2"/>
      </rPr>
      <t>H</t>
    </r>
  </si>
  <si>
    <r>
      <t>D</t>
    </r>
    <r>
      <rPr>
        <sz val="8"/>
        <rFont val="Arial"/>
        <family val="2"/>
      </rPr>
      <t>h</t>
    </r>
  </si>
  <si>
    <t>The weightings KL, KC and KH can be modified to reflect the relative importance of lightness, chroma and hue in different industrial applications</t>
  </si>
  <si>
    <t>Default values are 1.0</t>
  </si>
  <si>
    <r>
      <t>D</t>
    </r>
    <r>
      <rPr>
        <b/>
        <sz val="8"/>
        <rFont val="Arial"/>
        <family val="2"/>
      </rPr>
      <t>E</t>
    </r>
    <r>
      <rPr>
        <b/>
        <vertAlign val="subscript"/>
        <sz val="8"/>
        <rFont val="Arial"/>
        <family val="2"/>
      </rPr>
      <t>00</t>
    </r>
  </si>
  <si>
    <r>
      <t>K</t>
    </r>
    <r>
      <rPr>
        <vertAlign val="subscript"/>
        <sz val="10"/>
        <rFont val="Arial"/>
        <family val="2"/>
      </rPr>
      <t>L</t>
    </r>
  </si>
  <si>
    <r>
      <t>K</t>
    </r>
    <r>
      <rPr>
        <vertAlign val="subscript"/>
        <sz val="10"/>
        <rFont val="Arial"/>
        <family val="2"/>
      </rPr>
      <t>C</t>
    </r>
  </si>
  <si>
    <r>
      <t>K</t>
    </r>
    <r>
      <rPr>
        <vertAlign val="subscript"/>
        <sz val="10"/>
        <rFont val="Arial"/>
        <family val="2"/>
      </rPr>
      <t>H</t>
    </r>
  </si>
  <si>
    <t>Weightings</t>
  </si>
  <si>
    <r>
      <t>S</t>
    </r>
    <r>
      <rPr>
        <vertAlign val="subscript"/>
        <sz val="8"/>
        <rFont val="Arial"/>
        <family val="2"/>
      </rPr>
      <t>L</t>
    </r>
  </si>
  <si>
    <r>
      <t>S</t>
    </r>
    <r>
      <rPr>
        <vertAlign val="subscript"/>
        <sz val="8"/>
        <rFont val="Arial"/>
        <family val="2"/>
      </rPr>
      <t>C</t>
    </r>
  </si>
  <si>
    <r>
      <t>S</t>
    </r>
    <r>
      <rPr>
        <vertAlign val="subscript"/>
        <sz val="8"/>
        <rFont val="Arial"/>
        <family val="2"/>
      </rPr>
      <t>H</t>
    </r>
  </si>
  <si>
    <r>
      <t>R</t>
    </r>
    <r>
      <rPr>
        <vertAlign val="subscript"/>
        <sz val="8"/>
        <rFont val="Arial"/>
        <family val="2"/>
      </rPr>
      <t>C</t>
    </r>
  </si>
  <si>
    <r>
      <t>R</t>
    </r>
    <r>
      <rPr>
        <vertAlign val="subscript"/>
        <sz val="8"/>
        <rFont val="Arial"/>
        <family val="2"/>
      </rPr>
      <t>T</t>
    </r>
  </si>
  <si>
    <r>
      <t>b</t>
    </r>
    <r>
      <rPr>
        <vertAlign val="subscript"/>
        <sz val="8"/>
        <rFont val="Arial"/>
        <family val="2"/>
      </rPr>
      <t>s</t>
    </r>
  </si>
  <si>
    <r>
      <t>a</t>
    </r>
    <r>
      <rPr>
        <vertAlign val="subscript"/>
        <sz val="8"/>
        <rFont val="Arial"/>
        <family val="2"/>
      </rPr>
      <t>s</t>
    </r>
  </si>
  <si>
    <r>
      <t>C</t>
    </r>
    <r>
      <rPr>
        <vertAlign val="subscript"/>
        <sz val="8"/>
        <rFont val="Arial"/>
        <family val="2"/>
      </rPr>
      <t>s</t>
    </r>
  </si>
  <si>
    <r>
      <t>a'</t>
    </r>
    <r>
      <rPr>
        <vertAlign val="subscript"/>
        <sz val="8"/>
        <rFont val="Arial"/>
        <family val="2"/>
      </rPr>
      <t>s</t>
    </r>
  </si>
  <si>
    <r>
      <t>b'</t>
    </r>
    <r>
      <rPr>
        <vertAlign val="subscript"/>
        <sz val="8"/>
        <rFont val="Arial"/>
        <family val="2"/>
      </rPr>
      <t>s</t>
    </r>
  </si>
  <si>
    <r>
      <t>C'</t>
    </r>
    <r>
      <rPr>
        <vertAlign val="subscript"/>
        <sz val="8"/>
        <rFont val="Arial"/>
        <family val="2"/>
      </rPr>
      <t>s</t>
    </r>
  </si>
  <si>
    <r>
      <t>h'</t>
    </r>
    <r>
      <rPr>
        <vertAlign val="subscript"/>
        <sz val="8"/>
        <rFont val="Arial"/>
        <family val="2"/>
      </rPr>
      <t>s</t>
    </r>
  </si>
  <si>
    <r>
      <t>L</t>
    </r>
    <r>
      <rPr>
        <vertAlign val="subscript"/>
        <sz val="8"/>
        <rFont val="Arial"/>
        <family val="2"/>
      </rPr>
      <t>s</t>
    </r>
  </si>
  <si>
    <t>f</t>
  </si>
  <si>
    <r>
      <t>D</t>
    </r>
    <r>
      <rPr>
        <b/>
        <sz val="8"/>
        <rFont val="Arial"/>
        <family val="2"/>
      </rPr>
      <t>E</t>
    </r>
    <r>
      <rPr>
        <b/>
        <vertAlign val="subscript"/>
        <sz val="8"/>
        <rFont val="Arial"/>
        <family val="2"/>
      </rPr>
      <t>CMC</t>
    </r>
  </si>
  <si>
    <t>Sc</t>
  </si>
  <si>
    <t>Sh94</t>
  </si>
  <si>
    <t>DE</t>
  </si>
  <si>
    <t>DE94</t>
  </si>
  <si>
    <r>
      <t xml:space="preserve">Calculation of CIELAB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E* colour difference between a reference and a sample colour</t>
    </r>
  </si>
  <si>
    <r>
      <t xml:space="preserve">Calculation of CIE 94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E colour difference between a reference and a sample colour</t>
    </r>
  </si>
  <si>
    <r>
      <t xml:space="preserve">Calculation of CMC </t>
    </r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E colour difference between a reference and a sample colour</t>
    </r>
  </si>
  <si>
    <t>Calculation of CIEDE 2000 colour difference between a reference and a sample colour</t>
  </si>
  <si>
    <t>Phil Green, Colour Imaging Group, London College of Printing</t>
  </si>
  <si>
    <r>
      <t xml:space="preserve">Calculation of </t>
    </r>
    <r>
      <rPr>
        <b/>
        <sz val="10"/>
        <rFont val="Arial"/>
        <family val="2"/>
      </rPr>
      <t>colour difference between a reference and a sample colour</t>
    </r>
  </si>
  <si>
    <t>Difference</t>
  </si>
  <si>
    <r>
      <t>D</t>
    </r>
    <r>
      <rPr>
        <sz val="8"/>
        <rFont val="Arial"/>
        <family val="2"/>
      </rPr>
      <t>E</t>
    </r>
    <r>
      <rPr>
        <vertAlign val="subscript"/>
        <sz val="8"/>
        <rFont val="Arial"/>
        <family val="2"/>
      </rPr>
      <t>CMC</t>
    </r>
  </si>
  <si>
    <r>
      <t>D</t>
    </r>
    <r>
      <rPr>
        <sz val="8"/>
        <rFont val="Arial"/>
        <family val="2"/>
      </rPr>
      <t>E</t>
    </r>
    <r>
      <rPr>
        <vertAlign val="subscript"/>
        <sz val="8"/>
        <rFont val="Arial"/>
        <family val="2"/>
      </rPr>
      <t>00</t>
    </r>
  </si>
  <si>
    <t>CIELAB</t>
  </si>
  <si>
    <t>CIE94</t>
  </si>
  <si>
    <t>CMC</t>
  </si>
  <si>
    <t>CIEDE2000</t>
  </si>
  <si>
    <t>For more details on the formulas and their derivation, see Colorimetry and colour difference in Green and MacDonald (eds) Colour Engineering, Wiley 2002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</si>
</sst>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name val="Times New Roman"/>
      <family val="1"/>
    </font>
    <font>
      <i/>
      <sz val="8"/>
      <name val="Arial"/>
      <family val="2"/>
    </font>
    <font>
      <b/>
      <vertAlign val="subscript"/>
      <sz val="8"/>
      <name val="Arial"/>
      <family val="2"/>
    </font>
    <font>
      <vertAlign val="subscript"/>
      <sz val="8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3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 vertical="top" wrapText="1"/>
    </xf>
    <xf numFmtId="0" fontId="10" fillId="0" borderId="0" xfId="0" applyFont="1"/>
    <xf numFmtId="0" fontId="9" fillId="0" borderId="0" xfId="0" applyFont="1" applyBorder="1"/>
    <xf numFmtId="2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/>
    <xf numFmtId="0" fontId="3" fillId="0" borderId="0" xfId="0" applyNumberFormat="1" applyFont="1" applyAlignment="1">
      <alignment horizontal="center"/>
    </xf>
    <xf numFmtId="0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8A789"/>
      <rgbColor rgb="00CC99FF"/>
      <rgbColor rgb="00F1B58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view3D>
      <c:hPercent val="91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371681415929204"/>
          <c:y val="3.3816504888721149E-2"/>
          <c:w val="0.80530973451327437"/>
          <c:h val="0.8647363392972979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Summary!$A$16:$A$19</c:f>
              <c:strCache>
                <c:ptCount val="4"/>
                <c:pt idx="0">
                  <c:v>CIELAB</c:v>
                </c:pt>
                <c:pt idx="1">
                  <c:v>CIE94</c:v>
                </c:pt>
                <c:pt idx="2">
                  <c:v>CMC</c:v>
                </c:pt>
                <c:pt idx="3">
                  <c:v>CIEDE2000</c:v>
                </c:pt>
              </c:strCache>
            </c:strRef>
          </c:cat>
          <c:val>
            <c:numRef>
              <c:f>Summary!$C$16:$C$19</c:f>
              <c:numCache>
                <c:formatCode>0.00</c:formatCode>
                <c:ptCount val="4"/>
                <c:pt idx="0">
                  <c:v>3.4212424643687549</c:v>
                </c:pt>
                <c:pt idx="1">
                  <c:v>2.7966957744700247</c:v>
                </c:pt>
                <c:pt idx="2">
                  <c:v>3.4825629228037185</c:v>
                </c:pt>
                <c:pt idx="3">
                  <c:v>2.8106413453871988</c:v>
                </c:pt>
              </c:numCache>
            </c:numRef>
          </c:val>
        </c:ser>
        <c:shape val="box"/>
        <c:axId val="47904256"/>
        <c:axId val="51587328"/>
        <c:axId val="0"/>
      </c:bar3DChart>
      <c:catAx>
        <c:axId val="479042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87328"/>
        <c:crosses val="autoZero"/>
        <c:auto val="1"/>
        <c:lblAlgn val="ctr"/>
        <c:lblOffset val="100"/>
        <c:tickLblSkip val="1"/>
        <c:tickMarkSkip val="1"/>
      </c:catAx>
      <c:valAx>
        <c:axId val="51587328"/>
        <c:scaling>
          <c:orientation val="minMax"/>
          <c:max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Difference</a:t>
                </a:r>
              </a:p>
            </c:rich>
          </c:tx>
          <c:layout>
            <c:manualLayout>
              <c:xMode val="edge"/>
              <c:yMode val="edge"/>
              <c:x val="3.9823008849557522E-2"/>
              <c:y val="0.4106289879344711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0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28575</xdr:rowOff>
    </xdr:from>
    <xdr:to>
      <xdr:col>11</xdr:col>
      <xdr:colOff>38100</xdr:colOff>
      <xdr:row>27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C10" sqref="C10"/>
    </sheetView>
  </sheetViews>
  <sheetFormatPr defaultRowHeight="12.75"/>
  <cols>
    <col min="1" max="1" width="10.5703125" customWidth="1"/>
  </cols>
  <sheetData>
    <row r="1" spans="1:3">
      <c r="A1" s="25" t="s">
        <v>50</v>
      </c>
    </row>
    <row r="2" spans="1:3">
      <c r="A2" s="5" t="s">
        <v>49</v>
      </c>
    </row>
    <row r="3" spans="1:3">
      <c r="A3" s="5" t="s">
        <v>58</v>
      </c>
    </row>
    <row r="4" spans="1:3" ht="13.5" thickBot="1"/>
    <row r="5" spans="1:3">
      <c r="A5" s="26" t="s">
        <v>4</v>
      </c>
      <c r="B5" s="6" t="s">
        <v>1</v>
      </c>
      <c r="C5" s="17">
        <v>74.5</v>
      </c>
    </row>
    <row r="6" spans="1:3">
      <c r="B6" s="7" t="s">
        <v>2</v>
      </c>
      <c r="C6" s="17">
        <v>17.3</v>
      </c>
    </row>
    <row r="7" spans="1:3" ht="13.5" thickBot="1">
      <c r="B7" s="9" t="s">
        <v>3</v>
      </c>
      <c r="C7" s="17">
        <v>12.2</v>
      </c>
    </row>
    <row r="9" spans="1:3" ht="13.5" thickBot="1"/>
    <row r="10" spans="1:3">
      <c r="A10" s="26" t="s">
        <v>0</v>
      </c>
      <c r="B10" s="6" t="s">
        <v>38</v>
      </c>
      <c r="C10" s="17">
        <v>76.099999999999994</v>
      </c>
    </row>
    <row r="11" spans="1:3">
      <c r="B11" s="7" t="s">
        <v>32</v>
      </c>
      <c r="C11" s="17">
        <v>15.5</v>
      </c>
    </row>
    <row r="12" spans="1:3" ht="13.5" thickBot="1">
      <c r="B12" s="9" t="s">
        <v>31</v>
      </c>
      <c r="C12" s="17">
        <v>14.63</v>
      </c>
    </row>
    <row r="15" spans="1:3">
      <c r="A15" s="26" t="s">
        <v>51</v>
      </c>
    </row>
    <row r="16" spans="1:3">
      <c r="A16" t="s">
        <v>54</v>
      </c>
      <c r="B16" s="23" t="s">
        <v>43</v>
      </c>
      <c r="C16" s="17">
        <f>CIELAB!C20</f>
        <v>3.4212424643687549</v>
      </c>
    </row>
    <row r="17" spans="1:3">
      <c r="A17" t="s">
        <v>55</v>
      </c>
      <c r="B17" s="23" t="s">
        <v>44</v>
      </c>
      <c r="C17" s="17">
        <f>'CIE94'!C25</f>
        <v>2.7966957744700247</v>
      </c>
    </row>
    <row r="18" spans="1:3">
      <c r="A18" t="s">
        <v>56</v>
      </c>
      <c r="B18" s="10" t="s">
        <v>52</v>
      </c>
      <c r="C18" s="17">
        <f>CMC!C27</f>
        <v>3.4825629228037185</v>
      </c>
    </row>
    <row r="19" spans="1:3">
      <c r="A19" t="s">
        <v>57</v>
      </c>
      <c r="B19" s="10" t="s">
        <v>53</v>
      </c>
      <c r="C19" s="17">
        <f>CIEDE2000!C38</f>
        <v>2.8106413453871988</v>
      </c>
    </row>
    <row r="25" spans="1:3">
      <c r="B25" s="8"/>
      <c r="C25" s="4"/>
    </row>
    <row r="26" spans="1:3">
      <c r="B26" s="8"/>
      <c r="C26" s="18"/>
    </row>
    <row r="27" spans="1:3">
      <c r="B27" s="10"/>
      <c r="C27" s="8"/>
    </row>
    <row r="28" spans="1:3">
      <c r="B28" s="10"/>
      <c r="C28" s="8"/>
    </row>
    <row r="29" spans="1:3">
      <c r="B29" s="23"/>
      <c r="C29" s="4"/>
    </row>
    <row r="30" spans="1:3">
      <c r="B30" s="10"/>
      <c r="C30" s="8"/>
    </row>
    <row r="31" spans="1:3">
      <c r="B31" s="10"/>
      <c r="C31" s="11"/>
    </row>
  </sheetData>
  <phoneticPr fontId="2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8" sqref="C8"/>
    </sheetView>
  </sheetViews>
  <sheetFormatPr defaultRowHeight="12.75" customHeight="1"/>
  <cols>
    <col min="1" max="1" width="8.7109375" customWidth="1"/>
    <col min="2" max="2" width="6.7109375" customWidth="1"/>
    <col min="3" max="3" width="8.7109375" customWidth="1"/>
  </cols>
  <sheetData>
    <row r="1" spans="1:3" ht="12.75" customHeight="1">
      <c r="A1" s="25" t="s">
        <v>45</v>
      </c>
      <c r="B1" s="2"/>
      <c r="C1" s="2"/>
    </row>
    <row r="2" spans="1:3" s="5" customFormat="1" ht="12.75" customHeight="1">
      <c r="A2" s="5" t="s">
        <v>49</v>
      </c>
    </row>
    <row r="3" spans="1:3" ht="12.75" customHeight="1">
      <c r="A3" s="2"/>
      <c r="B3" s="1"/>
      <c r="C3" s="2"/>
    </row>
    <row r="4" spans="1:3" ht="12.75" customHeight="1">
      <c r="A4" s="2"/>
      <c r="B4" s="1"/>
      <c r="C4" s="2"/>
    </row>
    <row r="5" spans="1:3" ht="12.75" customHeight="1">
      <c r="A5" s="2"/>
      <c r="B5" s="1"/>
      <c r="C5" s="2"/>
    </row>
    <row r="6" spans="1:3" ht="12.75" customHeight="1">
      <c r="A6" s="2"/>
      <c r="B6" s="2"/>
      <c r="C6" s="2"/>
    </row>
    <row r="7" spans="1:3" ht="12.75" customHeight="1" thickBot="1"/>
    <row r="8" spans="1:3" ht="12.75" customHeight="1">
      <c r="A8" s="8" t="s">
        <v>4</v>
      </c>
      <c r="B8" s="6" t="s">
        <v>1</v>
      </c>
      <c r="C8" s="17">
        <f>Summary!C5</f>
        <v>74.5</v>
      </c>
    </row>
    <row r="9" spans="1:3" ht="12.75" customHeight="1">
      <c r="A9" s="8"/>
      <c r="B9" s="7" t="s">
        <v>2</v>
      </c>
      <c r="C9" s="17">
        <f>Summary!C6</f>
        <v>17.3</v>
      </c>
    </row>
    <row r="10" spans="1:3" ht="12.75" customHeight="1" thickBot="1">
      <c r="A10" s="8"/>
      <c r="B10" s="9" t="s">
        <v>3</v>
      </c>
      <c r="C10" s="17">
        <f>Summary!C7</f>
        <v>12.2</v>
      </c>
    </row>
    <row r="11" spans="1:3" ht="12.75" customHeight="1">
      <c r="A11" s="8"/>
      <c r="B11" s="8" t="s">
        <v>9</v>
      </c>
      <c r="C11" s="18">
        <f>(C9^2+C10^2)^0.5</f>
        <v>21.16908122711045</v>
      </c>
    </row>
    <row r="12" spans="1:3" ht="12.75" customHeight="1" thickBot="1">
      <c r="A12" s="8"/>
      <c r="B12" s="8" t="s">
        <v>11</v>
      </c>
      <c r="C12" s="18">
        <f>IF(C10&gt;=0,(180/(PI()))*ATAN2(C9,C10),360+(180/(PI()))*ATAN2(C9,C10))</f>
        <v>35.191578995172947</v>
      </c>
    </row>
    <row r="13" spans="1:3" ht="12.75" customHeight="1">
      <c r="A13" s="8" t="s">
        <v>0</v>
      </c>
      <c r="B13" s="6" t="s">
        <v>38</v>
      </c>
      <c r="C13" s="17">
        <f>Summary!C10</f>
        <v>76.099999999999994</v>
      </c>
    </row>
    <row r="14" spans="1:3" ht="12.75" customHeight="1">
      <c r="A14" s="8"/>
      <c r="B14" s="7" t="s">
        <v>32</v>
      </c>
      <c r="C14" s="17">
        <f>Summary!C11</f>
        <v>15.5</v>
      </c>
    </row>
    <row r="15" spans="1:3" ht="12.75" customHeight="1" thickBot="1">
      <c r="A15" s="8"/>
      <c r="B15" s="9" t="s">
        <v>31</v>
      </c>
      <c r="C15" s="17">
        <f>Summary!C12</f>
        <v>14.63</v>
      </c>
    </row>
    <row r="16" spans="1:3" ht="12.75" customHeight="1">
      <c r="A16" s="8"/>
      <c r="B16" s="8" t="s">
        <v>33</v>
      </c>
      <c r="C16" s="4">
        <f>(C14^2+C15^2)^0.5</f>
        <v>21.314007131461697</v>
      </c>
    </row>
    <row r="17" spans="1:3" ht="12.75" customHeight="1">
      <c r="A17" s="8"/>
      <c r="B17" s="8" t="s">
        <v>37</v>
      </c>
      <c r="C17" s="18">
        <f>IF(C15&gt;=0,(180/(PI()))*ATAN2(C14,C15),360+(180/(PI()))*ATAN2(C14,C15))</f>
        <v>43.346051060103591</v>
      </c>
    </row>
    <row r="18" spans="1:3" ht="12.75" customHeight="1">
      <c r="A18" s="8"/>
      <c r="B18" s="10" t="s">
        <v>15</v>
      </c>
      <c r="C18" s="8">
        <f>ABS(C8-C13)</f>
        <v>1.5999999999999943</v>
      </c>
    </row>
    <row r="19" spans="1:3" ht="12.75" customHeight="1">
      <c r="A19" s="8"/>
      <c r="B19" s="10" t="s">
        <v>16</v>
      </c>
      <c r="C19" s="8">
        <f>ABS(C11-C16)</f>
        <v>0.14492590435124697</v>
      </c>
    </row>
    <row r="20" spans="1:3" ht="12.75" customHeight="1">
      <c r="B20" s="23" t="s">
        <v>43</v>
      </c>
      <c r="C20" s="4">
        <f>((C8-C13)^2+(C9-C14)^2+(C10-C15)^2)^0.5</f>
        <v>3.4212424643687549</v>
      </c>
    </row>
    <row r="21" spans="1:3" ht="12.75" customHeight="1">
      <c r="B21" s="10" t="s">
        <v>18</v>
      </c>
      <c r="C21" s="8">
        <f>IF(ABS(C12-C17)&lt;=180,ABS(C12-C17),360-ABS(C12-C17))</f>
        <v>8.1544720649306441</v>
      </c>
    </row>
    <row r="22" spans="1:3" ht="12.75" customHeight="1">
      <c r="B22" s="10" t="s">
        <v>17</v>
      </c>
      <c r="C22" s="11">
        <f>2*((C11*C16)^0.5)*SIN(RADIANS(C21)/2)</f>
        <v>3.0205788323180687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C25" sqref="C25"/>
    </sheetView>
  </sheetViews>
  <sheetFormatPr defaultRowHeight="12.75" customHeight="1"/>
  <cols>
    <col min="1" max="1" width="8.7109375" customWidth="1"/>
    <col min="2" max="2" width="6.7109375" customWidth="1"/>
    <col min="3" max="3" width="8.7109375" customWidth="1"/>
  </cols>
  <sheetData>
    <row r="1" spans="1:7" ht="12.75" customHeight="1">
      <c r="A1" s="25" t="s">
        <v>46</v>
      </c>
      <c r="B1" s="2"/>
      <c r="C1" s="2"/>
    </row>
    <row r="2" spans="1:7" s="5" customFormat="1" ht="12.75" customHeight="1">
      <c r="A2" s="5" t="s">
        <v>49</v>
      </c>
    </row>
    <row r="3" spans="1:7" ht="12.75" customHeight="1">
      <c r="A3" s="2"/>
      <c r="B3" s="2"/>
      <c r="C3" s="2"/>
    </row>
    <row r="4" spans="1:7" ht="12.75" customHeight="1">
      <c r="A4" s="2" t="s">
        <v>25</v>
      </c>
      <c r="B4" s="1" t="s">
        <v>22</v>
      </c>
      <c r="C4" s="2">
        <v>1</v>
      </c>
      <c r="D4" s="15" t="s">
        <v>19</v>
      </c>
    </row>
    <row r="5" spans="1:7" ht="12.75" customHeight="1">
      <c r="A5" s="2"/>
      <c r="B5" s="1" t="s">
        <v>23</v>
      </c>
      <c r="C5" s="2">
        <v>1</v>
      </c>
      <c r="D5" s="15" t="s">
        <v>20</v>
      </c>
    </row>
    <row r="6" spans="1:7" ht="12.75" customHeight="1">
      <c r="A6" s="2"/>
      <c r="B6" s="1" t="s">
        <v>24</v>
      </c>
      <c r="C6" s="2">
        <v>1</v>
      </c>
    </row>
    <row r="7" spans="1:7" ht="12.75" customHeight="1" thickBot="1">
      <c r="A7" s="2"/>
      <c r="B7" s="2"/>
      <c r="C7" s="2"/>
    </row>
    <row r="8" spans="1:7" ht="12.75" customHeight="1">
      <c r="A8" s="8" t="s">
        <v>4</v>
      </c>
      <c r="B8" s="6" t="s">
        <v>1</v>
      </c>
      <c r="C8" s="17">
        <f>Summary!C5</f>
        <v>74.5</v>
      </c>
    </row>
    <row r="9" spans="1:7" ht="12.75" customHeight="1">
      <c r="A9" s="8"/>
      <c r="B9" s="7" t="s">
        <v>2</v>
      </c>
      <c r="C9" s="17">
        <f>Summary!C6</f>
        <v>17.3</v>
      </c>
    </row>
    <row r="10" spans="1:7" ht="12.75" customHeight="1" thickBot="1">
      <c r="A10" s="8"/>
      <c r="B10" s="9" t="s">
        <v>3</v>
      </c>
      <c r="C10" s="17">
        <f>Summary!C7</f>
        <v>12.2</v>
      </c>
    </row>
    <row r="11" spans="1:7" ht="12.75" customHeight="1">
      <c r="A11" s="8"/>
      <c r="B11" s="8" t="s">
        <v>9</v>
      </c>
      <c r="C11" s="18">
        <f>(C9^2+C10^2)^0.5</f>
        <v>21.16908122711045</v>
      </c>
    </row>
    <row r="12" spans="1:7" ht="12.75" customHeight="1" thickBot="1">
      <c r="A12" s="8"/>
      <c r="B12" s="8" t="s">
        <v>11</v>
      </c>
      <c r="C12" s="18">
        <f>IF(C10&gt;=0,(180/PI())*ATAN2(C9,C10),360+(180/PI())*ATAN2(C9,C10))</f>
        <v>35.191578995172947</v>
      </c>
    </row>
    <row r="13" spans="1:7" ht="12.75" customHeight="1">
      <c r="A13" s="8" t="s">
        <v>0</v>
      </c>
      <c r="B13" s="6" t="s">
        <v>38</v>
      </c>
      <c r="C13" s="17">
        <f>Summary!C10</f>
        <v>76.099999999999994</v>
      </c>
      <c r="G13" s="18"/>
    </row>
    <row r="14" spans="1:7" ht="12.75" customHeight="1">
      <c r="A14" s="8"/>
      <c r="B14" s="7" t="s">
        <v>32</v>
      </c>
      <c r="C14" s="17">
        <f>Summary!C11</f>
        <v>15.5</v>
      </c>
      <c r="G14" s="18"/>
    </row>
    <row r="15" spans="1:7" ht="12.75" customHeight="1" thickBot="1">
      <c r="A15" s="8"/>
      <c r="B15" s="9" t="s">
        <v>31</v>
      </c>
      <c r="C15" s="17">
        <f>Summary!C12</f>
        <v>14.63</v>
      </c>
      <c r="E15" s="18"/>
      <c r="F15" s="18"/>
      <c r="G15" s="4"/>
    </row>
    <row r="16" spans="1:7" ht="12.75" customHeight="1">
      <c r="A16" s="8"/>
      <c r="B16" s="8" t="s">
        <v>33</v>
      </c>
      <c r="C16" s="4">
        <f>(C14^2+C15^2)^0.5</f>
        <v>21.314007131461697</v>
      </c>
      <c r="E16" s="18"/>
      <c r="F16" s="18"/>
      <c r="G16" s="4"/>
    </row>
    <row r="17" spans="1:7" ht="12.75" customHeight="1">
      <c r="A17" s="8"/>
      <c r="B17" s="8" t="s">
        <v>37</v>
      </c>
      <c r="C17" s="18">
        <f>IF(C15&gt;=0,(360/(2*PI()))*ATAN2(C14,C15),360+(360/(2*PI()))*ATAN2(C14,C15))</f>
        <v>43.346051060103591</v>
      </c>
      <c r="E17" s="18"/>
      <c r="F17" s="18"/>
      <c r="G17" s="4"/>
    </row>
    <row r="18" spans="1:7" ht="12.75" customHeight="1">
      <c r="A18" s="8"/>
      <c r="B18" s="10" t="s">
        <v>15</v>
      </c>
      <c r="C18" s="8">
        <f>ABS(C8-C13)</f>
        <v>1.5999999999999943</v>
      </c>
      <c r="G18" s="4"/>
    </row>
    <row r="19" spans="1:7" ht="12.75" customHeight="1">
      <c r="A19" s="8"/>
      <c r="B19" s="10" t="s">
        <v>16</v>
      </c>
      <c r="C19" s="8">
        <f>ABS(C11-C16)</f>
        <v>0.14492590435124697</v>
      </c>
      <c r="G19" s="4"/>
    </row>
    <row r="20" spans="1:7" ht="12.75" customHeight="1">
      <c r="A20" s="8"/>
      <c r="B20" s="23" t="s">
        <v>43</v>
      </c>
      <c r="C20" s="4">
        <f>((C8-C13)^2+(C9-C14)^2+(C10-C15)^2)^0.5</f>
        <v>3.4212424643687549</v>
      </c>
      <c r="E20" s="19"/>
      <c r="F20" s="20"/>
      <c r="G20" s="4"/>
    </row>
    <row r="21" spans="1:7" ht="12.75" customHeight="1">
      <c r="A21" s="8"/>
      <c r="B21" s="10" t="s">
        <v>18</v>
      </c>
      <c r="C21" s="8">
        <f>IF(ABS(C12-C17)&lt;=180,ABS(C12-C17),360-ABS(C12-C17))</f>
        <v>8.1544720649306441</v>
      </c>
      <c r="E21" s="21"/>
      <c r="F21" s="22"/>
      <c r="G21" s="4"/>
    </row>
    <row r="22" spans="1:7" ht="12.75" customHeight="1">
      <c r="B22" s="10" t="s">
        <v>17</v>
      </c>
      <c r="C22" s="11">
        <f>2*((C11*C16)^0.5)*SIN(RADIANS(C21)/2)</f>
        <v>3.0205788323180687</v>
      </c>
      <c r="G22" s="4"/>
    </row>
    <row r="23" spans="1:7" ht="12.75" customHeight="1">
      <c r="B23" s="24" t="s">
        <v>41</v>
      </c>
      <c r="C23" s="18">
        <f>1+C11*0.045</f>
        <v>1.9526086552199702</v>
      </c>
      <c r="E23" s="19"/>
      <c r="F23" s="4"/>
      <c r="G23" s="4"/>
    </row>
    <row r="24" spans="1:7" ht="12.75" customHeight="1">
      <c r="B24" s="24" t="s">
        <v>42</v>
      </c>
      <c r="C24" s="18">
        <f>1+C11*0.015</f>
        <v>1.3175362184066568</v>
      </c>
      <c r="G24" s="4"/>
    </row>
    <row r="25" spans="1:7" ht="12.75" customHeight="1">
      <c r="B25" s="23" t="s">
        <v>44</v>
      </c>
      <c r="C25" s="4">
        <f>(C18^2+(C19/C23*C5)^2+(C22/C24*C6)^2)^0.5</f>
        <v>2.7966957744700247</v>
      </c>
      <c r="E25" s="19"/>
      <c r="F25" s="4"/>
      <c r="G25" s="4"/>
    </row>
    <row r="26" spans="1:7" ht="12.75" customHeight="1">
      <c r="E26" s="4"/>
      <c r="F26" s="4"/>
      <c r="G26" s="4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88"/>
  <sheetViews>
    <sheetView tabSelected="1" workbookViewId="0">
      <selection activeCell="A3" sqref="A3"/>
    </sheetView>
  </sheetViews>
  <sheetFormatPr defaultColWidth="6.7109375" defaultRowHeight="12.75" customHeight="1"/>
  <cols>
    <col min="1" max="1" width="8.7109375" style="2" customWidth="1"/>
    <col min="2" max="2" width="6.7109375" style="2" customWidth="1"/>
    <col min="3" max="3" width="8.7109375" style="2" customWidth="1"/>
    <col min="4" max="16384" width="6.7109375" style="2"/>
  </cols>
  <sheetData>
    <row r="1" spans="1:31" ht="12.75" customHeight="1">
      <c r="A1" s="25" t="s">
        <v>47</v>
      </c>
    </row>
    <row r="2" spans="1:31" s="5" customFormat="1" ht="12.75" customHeight="1">
      <c r="A2" s="5" t="s">
        <v>49</v>
      </c>
    </row>
    <row r="3" spans="1:31" s="5" customFormat="1" ht="12.75" customHeight="1"/>
    <row r="4" spans="1:31" ht="12.75" customHeight="1">
      <c r="A4" s="2" t="s">
        <v>25</v>
      </c>
      <c r="B4" s="1" t="s">
        <v>22</v>
      </c>
      <c r="C4" s="2">
        <v>1</v>
      </c>
      <c r="D4" s="15" t="s">
        <v>19</v>
      </c>
      <c r="U4" s="5"/>
      <c r="W4" s="5"/>
      <c r="X4" s="4"/>
      <c r="Z4" s="4"/>
      <c r="AA4" s="4"/>
      <c r="AC4" s="4"/>
      <c r="AD4" s="4"/>
      <c r="AE4" s="5"/>
    </row>
    <row r="5" spans="1:31" ht="12.75" customHeight="1">
      <c r="B5" s="1" t="s">
        <v>23</v>
      </c>
      <c r="C5" s="2">
        <v>1</v>
      </c>
      <c r="D5" s="15" t="s">
        <v>20</v>
      </c>
      <c r="U5" s="5"/>
      <c r="X5" s="4"/>
      <c r="Z5" s="4"/>
      <c r="AA5" s="4"/>
      <c r="AC5" s="4"/>
      <c r="AD5" s="4"/>
      <c r="AE5" s="5"/>
    </row>
    <row r="6" spans="1:31" ht="12.75" customHeight="1">
      <c r="B6" s="1" t="s">
        <v>24</v>
      </c>
      <c r="C6" s="2">
        <v>1</v>
      </c>
      <c r="U6" s="5"/>
      <c r="X6" s="4"/>
      <c r="Z6" s="4"/>
      <c r="AA6" s="4"/>
      <c r="AC6" s="4"/>
      <c r="AD6" s="4"/>
      <c r="AE6" s="5"/>
    </row>
    <row r="7" spans="1:31" ht="12.75" customHeight="1" thickBot="1">
      <c r="AA7" s="3"/>
    </row>
    <row r="8" spans="1:31" ht="12.75" customHeight="1">
      <c r="A8" s="8" t="s">
        <v>4</v>
      </c>
      <c r="B8" s="6" t="s">
        <v>1</v>
      </c>
      <c r="C8" s="17">
        <f>Summary!C5</f>
        <v>74.5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AC8" s="4"/>
      <c r="AD8" s="5"/>
    </row>
    <row r="9" spans="1:31" ht="12.75" customHeight="1">
      <c r="A9" s="8"/>
      <c r="B9" s="7" t="s">
        <v>2</v>
      </c>
      <c r="C9" s="17">
        <f>Summary!C6</f>
        <v>17.3</v>
      </c>
      <c r="AC9" s="4"/>
      <c r="AD9" s="5"/>
    </row>
    <row r="10" spans="1:31" ht="12.75" customHeight="1" thickBot="1">
      <c r="A10" s="8"/>
      <c r="B10" s="9" t="s">
        <v>3</v>
      </c>
      <c r="C10" s="17">
        <f>Summary!C7</f>
        <v>12.2</v>
      </c>
      <c r="AC10" s="4"/>
      <c r="AD10" s="5"/>
    </row>
    <row r="11" spans="1:31" ht="12.75" customHeight="1">
      <c r="A11" s="8"/>
      <c r="B11" s="8" t="s">
        <v>9</v>
      </c>
      <c r="C11" s="8">
        <f>(C9^2+C10^2)^0.5</f>
        <v>21.16908122711045</v>
      </c>
      <c r="AC11" s="4"/>
      <c r="AD11" s="5"/>
    </row>
    <row r="12" spans="1:31" ht="12.75" customHeight="1" thickBot="1">
      <c r="A12" s="8"/>
      <c r="B12" s="8" t="s">
        <v>11</v>
      </c>
      <c r="C12" s="8">
        <f>IF(C10&gt;0,DEGREES(ATAN2(C9,C10)),360+DEGREES(ATAN2(C9,C10)))</f>
        <v>35.191578995172947</v>
      </c>
      <c r="AC12" s="4"/>
      <c r="AD12" s="5"/>
    </row>
    <row r="13" spans="1:31" ht="12.75" customHeight="1">
      <c r="A13" s="8" t="s">
        <v>0</v>
      </c>
      <c r="B13" s="6" t="s">
        <v>38</v>
      </c>
      <c r="C13" s="17">
        <f>Summary!C10</f>
        <v>76.099999999999994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AC13" s="4"/>
      <c r="AD13" s="5"/>
    </row>
    <row r="14" spans="1:31" ht="12.75" customHeight="1">
      <c r="A14" s="8"/>
      <c r="B14" s="7" t="s">
        <v>32</v>
      </c>
      <c r="C14" s="17">
        <f>Summary!C11</f>
        <v>15.5</v>
      </c>
      <c r="AC14" s="4"/>
      <c r="AD14" s="5"/>
    </row>
    <row r="15" spans="1:31" ht="12.75" customHeight="1" thickBot="1">
      <c r="A15" s="8"/>
      <c r="B15" s="9" t="s">
        <v>31</v>
      </c>
      <c r="C15" s="17">
        <f>Summary!C12</f>
        <v>14.63</v>
      </c>
    </row>
    <row r="16" spans="1:31" ht="12.75" customHeight="1">
      <c r="A16" s="8"/>
      <c r="B16" s="8" t="s">
        <v>33</v>
      </c>
      <c r="C16" s="8">
        <f>(C14^2+C15^2)^0.5</f>
        <v>21.314007131461697</v>
      </c>
    </row>
    <row r="17" spans="1:25" ht="12.75" customHeight="1">
      <c r="A17" s="8"/>
      <c r="B17" s="8" t="s">
        <v>37</v>
      </c>
      <c r="C17" s="8">
        <f>IF(C15&gt;0,DEGREES(ATAN2(C14,C15)),360+DEGREES(ATAN2(C14,C15)))</f>
        <v>43.346051060103591</v>
      </c>
      <c r="D17" s="8"/>
      <c r="W17" s="4"/>
    </row>
    <row r="18" spans="1:25" ht="12.75" customHeight="1">
      <c r="A18" s="8"/>
      <c r="B18" s="10" t="s">
        <v>18</v>
      </c>
      <c r="C18" s="8">
        <f>IF(ABS(C12-C17)&lt;=180,ABS(C12-C17),360-ABS(C12-C17))</f>
        <v>8.1544720649306441</v>
      </c>
      <c r="D18" s="8"/>
      <c r="W18" s="4"/>
    </row>
    <row r="19" spans="1:25" ht="12.75" customHeight="1">
      <c r="A19" s="8"/>
      <c r="B19" s="10" t="s">
        <v>15</v>
      </c>
      <c r="C19" s="8">
        <f>ABS(C8-C13)</f>
        <v>1.5999999999999943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2.75" customHeight="1">
      <c r="A20" s="8"/>
      <c r="B20" s="10" t="s">
        <v>16</v>
      </c>
      <c r="C20" s="8">
        <f>ABS(C11-C16)</f>
        <v>0.14492590435124697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2.75" customHeight="1">
      <c r="A21" s="8"/>
      <c r="B21" s="10" t="s">
        <v>17</v>
      </c>
      <c r="C21" s="11">
        <f>2*((C11*C16)^0.5)*SIN(RADIANS(C18)/2)</f>
        <v>3.0205788323180687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>
      <c r="A22" s="8"/>
      <c r="B22" s="16" t="s">
        <v>39</v>
      </c>
      <c r="C22" s="11">
        <f>((C11^4)/(C11^4+1900))^0.5</f>
        <v>0.99530271245976099</v>
      </c>
      <c r="D22" s="11"/>
      <c r="E22" s="11"/>
      <c r="W22" s="4"/>
    </row>
    <row r="23" spans="1:25" ht="12.75" customHeight="1">
      <c r="A23" s="8"/>
      <c r="B23" s="8" t="s">
        <v>10</v>
      </c>
      <c r="C23" s="11">
        <f>IF(C12&gt;164,IF(C12&lt;345,0.56+ABS(0.4*COS(RADIANS(C12+35))),0.36+ABS(0.2*COS(RADIANS(C12+168)))),0.36+ABS(0.2*COS(RADIANS(C12+168))))</f>
        <v>0.54383864572971419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>
      <c r="A24" s="8"/>
      <c r="B24" s="8" t="s">
        <v>26</v>
      </c>
      <c r="C24" s="11">
        <f>IF(C13&lt;16,0.511,0.040975*C8/(1+0.01765*C8))</f>
        <v>1.318676630992365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>
      <c r="A25" s="8"/>
      <c r="B25" s="8" t="s">
        <v>27</v>
      </c>
      <c r="C25" s="8">
        <f>0.0638*C11/(1+0.0131*C11)+0.638</f>
        <v>1.6953644091514684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 customHeight="1">
      <c r="A26" s="8"/>
      <c r="B26" s="8" t="s">
        <v>28</v>
      </c>
      <c r="C26" s="11">
        <f>C25*(C22*C23+1-C22)</f>
        <v>0.92563737729100004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>
      <c r="A27" s="8"/>
      <c r="B27" s="12" t="s">
        <v>40</v>
      </c>
      <c r="C27" s="11">
        <f>((C19/(C24*$C$4))^2+(C20/(C25*$C$5))^2+(C21/(C26*$C$6))^2)^0.5</f>
        <v>3.4825629228037185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>
      <c r="W28" s="4"/>
    </row>
    <row r="29" spans="1:25" ht="12.75" customHeight="1">
      <c r="W29" s="4"/>
    </row>
    <row r="30" spans="1:25" ht="12.75" customHeight="1">
      <c r="W30" s="4"/>
    </row>
    <row r="31" spans="1:25" ht="12.75" customHeight="1">
      <c r="W31" s="4"/>
    </row>
    <row r="32" spans="1:25" ht="12.75" customHeight="1">
      <c r="W32" s="4"/>
    </row>
    <row r="33" spans="23:23" ht="12.75" customHeight="1">
      <c r="W33" s="4"/>
    </row>
    <row r="34" spans="23:23" ht="12.75" customHeight="1">
      <c r="W34" s="4"/>
    </row>
    <row r="35" spans="23:23" ht="12.75" customHeight="1">
      <c r="W35" s="4"/>
    </row>
    <row r="36" spans="23:23" ht="12.75" customHeight="1">
      <c r="W36" s="4"/>
    </row>
    <row r="37" spans="23:23" ht="12.75" customHeight="1">
      <c r="W37" s="4"/>
    </row>
    <row r="38" spans="23:23" ht="12.75" customHeight="1">
      <c r="W38" s="4"/>
    </row>
    <row r="39" spans="23:23" ht="12.75" customHeight="1">
      <c r="W39" s="4"/>
    </row>
    <row r="40" spans="23:23" ht="12.75" customHeight="1">
      <c r="W40" s="4"/>
    </row>
    <row r="41" spans="23:23" ht="12.75" customHeight="1">
      <c r="W41" s="4"/>
    </row>
    <row r="42" spans="23:23" ht="12.75" customHeight="1">
      <c r="W42" s="4"/>
    </row>
    <row r="43" spans="23:23" ht="12.75" customHeight="1">
      <c r="W43" s="4"/>
    </row>
    <row r="44" spans="23:23" ht="12.75" customHeight="1">
      <c r="W44" s="4"/>
    </row>
    <row r="45" spans="23:23" ht="12.75" customHeight="1">
      <c r="W45" s="4"/>
    </row>
    <row r="46" spans="23:23" ht="12.75" customHeight="1">
      <c r="W46" s="4"/>
    </row>
    <row r="47" spans="23:23" ht="12.75" customHeight="1">
      <c r="W47" s="4"/>
    </row>
    <row r="48" spans="23:23" ht="12.75" customHeight="1">
      <c r="W48" s="4"/>
    </row>
    <row r="49" spans="23:23" ht="12.75" customHeight="1">
      <c r="W49" s="4"/>
    </row>
    <row r="50" spans="23:23" ht="12.75" customHeight="1">
      <c r="W50" s="11"/>
    </row>
    <row r="51" spans="23:23" ht="12.75" customHeight="1">
      <c r="W51" s="4"/>
    </row>
    <row r="52" spans="23:23" ht="12.75" customHeight="1">
      <c r="W52" s="4"/>
    </row>
    <row r="53" spans="23:23" ht="12.75" customHeight="1">
      <c r="W53" s="4"/>
    </row>
    <row r="54" spans="23:23" ht="12.75" customHeight="1">
      <c r="W54" s="4"/>
    </row>
    <row r="55" spans="23:23" ht="12.75" customHeight="1">
      <c r="W55" s="4"/>
    </row>
    <row r="56" spans="23:23" ht="12.75" customHeight="1">
      <c r="W56" s="4"/>
    </row>
    <row r="57" spans="23:23" ht="12.75" customHeight="1">
      <c r="W57" s="4"/>
    </row>
    <row r="58" spans="23:23" ht="12.75" customHeight="1">
      <c r="W58" s="4"/>
    </row>
    <row r="59" spans="23:23" ht="12.75" customHeight="1">
      <c r="W59" s="4"/>
    </row>
    <row r="60" spans="23:23" ht="12.75" customHeight="1">
      <c r="W60" s="4"/>
    </row>
    <row r="61" spans="23:23" ht="12.75" customHeight="1">
      <c r="W61" s="4"/>
    </row>
    <row r="62" spans="23:23" ht="12.75" customHeight="1">
      <c r="W62" s="4"/>
    </row>
    <row r="63" spans="23:23" ht="12.75" customHeight="1">
      <c r="W63" s="4"/>
    </row>
    <row r="64" spans="23:23" ht="12.75" customHeight="1">
      <c r="W64" s="4"/>
    </row>
    <row r="65" spans="23:23" ht="12.75" customHeight="1">
      <c r="W65" s="4"/>
    </row>
    <row r="66" spans="23:23" ht="12.75" customHeight="1">
      <c r="W66" s="4"/>
    </row>
    <row r="67" spans="23:23" ht="12.75" customHeight="1">
      <c r="W67" s="4"/>
    </row>
    <row r="68" spans="23:23" ht="12.75" customHeight="1">
      <c r="W68" s="4"/>
    </row>
    <row r="69" spans="23:23" ht="12.75" customHeight="1">
      <c r="W69" s="4"/>
    </row>
    <row r="70" spans="23:23" ht="12.75" customHeight="1">
      <c r="W70" s="4"/>
    </row>
    <row r="71" spans="23:23" ht="12.75" customHeight="1">
      <c r="W71" s="4"/>
    </row>
    <row r="72" spans="23:23" ht="12.75" customHeight="1">
      <c r="W72" s="4"/>
    </row>
    <row r="73" spans="23:23" ht="12.75" customHeight="1">
      <c r="W73" s="4"/>
    </row>
    <row r="74" spans="23:23" ht="12.75" customHeight="1">
      <c r="W74" s="4"/>
    </row>
    <row r="75" spans="23:23" ht="12.75" customHeight="1">
      <c r="W75" s="4"/>
    </row>
    <row r="76" spans="23:23" ht="12.75" customHeight="1">
      <c r="W76" s="4"/>
    </row>
    <row r="77" spans="23:23" ht="12.75" customHeight="1">
      <c r="W77" s="4"/>
    </row>
    <row r="78" spans="23:23" ht="12.75" customHeight="1">
      <c r="W78" s="4"/>
    </row>
    <row r="79" spans="23:23" ht="12.75" customHeight="1">
      <c r="W79" s="4"/>
    </row>
    <row r="80" spans="23:23" ht="12.75" customHeight="1">
      <c r="W80" s="4"/>
    </row>
    <row r="81" spans="23:23" ht="12.75" customHeight="1">
      <c r="W81" s="4"/>
    </row>
    <row r="82" spans="23:23" ht="12.75" customHeight="1">
      <c r="W82" s="4"/>
    </row>
    <row r="83" spans="23:23" ht="12.75" customHeight="1">
      <c r="W83" s="4"/>
    </row>
    <row r="84" spans="23:23" ht="12.75" customHeight="1">
      <c r="W84" s="4"/>
    </row>
    <row r="85" spans="23:23" ht="12.75" customHeight="1">
      <c r="W85" s="4"/>
    </row>
    <row r="86" spans="23:23" ht="12.75" customHeight="1">
      <c r="W86" s="4"/>
    </row>
    <row r="87" spans="23:23" ht="12.75" customHeight="1">
      <c r="W87" s="4"/>
    </row>
    <row r="88" spans="23:23" ht="12.75" customHeight="1">
      <c r="W88" s="4"/>
    </row>
    <row r="89" spans="23:23" ht="12.75" customHeight="1">
      <c r="W89" s="4"/>
    </row>
    <row r="90" spans="23:23" ht="12.75" customHeight="1">
      <c r="W90" s="4"/>
    </row>
    <row r="91" spans="23:23" ht="12.75" customHeight="1">
      <c r="W91" s="4"/>
    </row>
    <row r="92" spans="23:23" ht="12.75" customHeight="1">
      <c r="W92" s="4"/>
    </row>
    <row r="93" spans="23:23" ht="12.75" customHeight="1">
      <c r="W93" s="4"/>
    </row>
    <row r="94" spans="23:23" ht="12.75" customHeight="1">
      <c r="W94" s="4"/>
    </row>
    <row r="95" spans="23:23" ht="12.75" customHeight="1">
      <c r="W95" s="4"/>
    </row>
    <row r="96" spans="23:23" ht="12.75" customHeight="1">
      <c r="W96" s="4"/>
    </row>
    <row r="97" spans="23:23" ht="12.75" customHeight="1">
      <c r="W97" s="4"/>
    </row>
    <row r="98" spans="23:23" ht="12.75" customHeight="1">
      <c r="W98" s="4"/>
    </row>
    <row r="99" spans="23:23" ht="12.75" customHeight="1">
      <c r="W99" s="4"/>
    </row>
    <row r="100" spans="23:23" ht="12.75" customHeight="1">
      <c r="W100" s="4"/>
    </row>
    <row r="101" spans="23:23" ht="12.75" customHeight="1">
      <c r="W101" s="4"/>
    </row>
    <row r="102" spans="23:23" ht="12.75" customHeight="1">
      <c r="W102" s="4"/>
    </row>
    <row r="103" spans="23:23" ht="12.75" customHeight="1">
      <c r="W103" s="4"/>
    </row>
    <row r="104" spans="23:23" ht="12.75" customHeight="1">
      <c r="W104" s="4"/>
    </row>
    <row r="105" spans="23:23" ht="12.75" customHeight="1">
      <c r="W105" s="4"/>
    </row>
    <row r="106" spans="23:23" ht="12.75" customHeight="1">
      <c r="W106" s="4"/>
    </row>
    <row r="107" spans="23:23" ht="12.75" customHeight="1">
      <c r="W107" s="4"/>
    </row>
    <row r="108" spans="23:23" ht="12.75" customHeight="1">
      <c r="W108" s="4"/>
    </row>
    <row r="109" spans="23:23" ht="12.75" customHeight="1">
      <c r="W109" s="4"/>
    </row>
    <row r="110" spans="23:23" ht="12.75" customHeight="1">
      <c r="W110" s="4"/>
    </row>
    <row r="111" spans="23:23" ht="12.75" customHeight="1">
      <c r="W111" s="4"/>
    </row>
    <row r="112" spans="23:23" ht="12.75" customHeight="1">
      <c r="W112" s="4"/>
    </row>
    <row r="113" spans="23:23" ht="12.75" customHeight="1">
      <c r="W113" s="4"/>
    </row>
    <row r="114" spans="23:23" ht="12.75" customHeight="1">
      <c r="W114" s="4"/>
    </row>
    <row r="115" spans="23:23" ht="12.75" customHeight="1">
      <c r="W115" s="4"/>
    </row>
    <row r="116" spans="23:23" ht="12.75" customHeight="1">
      <c r="W116" s="4"/>
    </row>
    <row r="117" spans="23:23" ht="12.75" customHeight="1">
      <c r="W117" s="4"/>
    </row>
    <row r="118" spans="23:23" ht="12.75" customHeight="1">
      <c r="W118" s="4"/>
    </row>
    <row r="119" spans="23:23" ht="12.75" customHeight="1">
      <c r="W119" s="4"/>
    </row>
    <row r="120" spans="23:23" ht="12.75" customHeight="1">
      <c r="W120" s="4"/>
    </row>
    <row r="121" spans="23:23" ht="12.75" customHeight="1">
      <c r="W121" s="4"/>
    </row>
    <row r="122" spans="23:23" ht="12.75" customHeight="1">
      <c r="W122" s="4"/>
    </row>
    <row r="123" spans="23:23" ht="12.75" customHeight="1">
      <c r="W123" s="4"/>
    </row>
    <row r="124" spans="23:23" ht="12.75" customHeight="1">
      <c r="W124" s="4"/>
    </row>
    <row r="125" spans="23:23" ht="12.75" customHeight="1">
      <c r="W125" s="4"/>
    </row>
    <row r="126" spans="23:23" ht="12.75" customHeight="1">
      <c r="W126" s="4"/>
    </row>
    <row r="127" spans="23:23" ht="12.75" customHeight="1">
      <c r="W127" s="4"/>
    </row>
    <row r="128" spans="23:23" ht="12.75" customHeight="1">
      <c r="W128" s="4"/>
    </row>
    <row r="129" spans="23:23" ht="12.75" customHeight="1">
      <c r="W129" s="4"/>
    </row>
    <row r="130" spans="23:23" ht="12.75" customHeight="1">
      <c r="W130" s="4"/>
    </row>
    <row r="131" spans="23:23" ht="12.75" customHeight="1">
      <c r="W131" s="4"/>
    </row>
    <row r="132" spans="23:23" ht="12.75" customHeight="1">
      <c r="W132" s="4"/>
    </row>
    <row r="133" spans="23:23" ht="12.75" customHeight="1">
      <c r="W133" s="4"/>
    </row>
    <row r="134" spans="23:23" ht="12.75" customHeight="1">
      <c r="W134" s="4"/>
    </row>
    <row r="135" spans="23:23" ht="12.75" customHeight="1">
      <c r="W135" s="4"/>
    </row>
    <row r="136" spans="23:23" ht="12.75" customHeight="1">
      <c r="W136" s="4"/>
    </row>
    <row r="137" spans="23:23" ht="12.75" customHeight="1">
      <c r="W137" s="4"/>
    </row>
    <row r="138" spans="23:23" ht="12.75" customHeight="1">
      <c r="W138" s="4"/>
    </row>
    <row r="139" spans="23:23" ht="12.75" customHeight="1">
      <c r="W139" s="4"/>
    </row>
    <row r="140" spans="23:23" ht="12.75" customHeight="1">
      <c r="W140" s="4"/>
    </row>
    <row r="141" spans="23:23" ht="12.75" customHeight="1">
      <c r="W141" s="4"/>
    </row>
    <row r="142" spans="23:23" ht="12.75" customHeight="1">
      <c r="W142" s="4"/>
    </row>
    <row r="143" spans="23:23" ht="12.75" customHeight="1">
      <c r="W143" s="4"/>
    </row>
    <row r="144" spans="23:23" ht="12.75" customHeight="1">
      <c r="W144" s="4"/>
    </row>
    <row r="145" spans="23:23" ht="12.75" customHeight="1">
      <c r="W145" s="4"/>
    </row>
    <row r="146" spans="23:23" ht="12.75" customHeight="1">
      <c r="W146" s="4"/>
    </row>
    <row r="147" spans="23:23" ht="12.75" customHeight="1">
      <c r="W147" s="4"/>
    </row>
    <row r="148" spans="23:23" ht="12.75" customHeight="1">
      <c r="W148" s="4"/>
    </row>
    <row r="149" spans="23:23" ht="12.75" customHeight="1">
      <c r="W149" s="4"/>
    </row>
    <row r="150" spans="23:23" ht="12.75" customHeight="1">
      <c r="W150" s="4"/>
    </row>
    <row r="151" spans="23:23" ht="12.75" customHeight="1">
      <c r="W151" s="4"/>
    </row>
    <row r="152" spans="23:23" ht="12.75" customHeight="1">
      <c r="W152" s="4"/>
    </row>
    <row r="153" spans="23:23" ht="12.75" customHeight="1">
      <c r="W153" s="4"/>
    </row>
    <row r="154" spans="23:23" ht="12.75" customHeight="1">
      <c r="W154" s="4"/>
    </row>
    <row r="155" spans="23:23" ht="12.75" customHeight="1">
      <c r="W155" s="4"/>
    </row>
    <row r="156" spans="23:23" ht="12.75" customHeight="1">
      <c r="W156" s="4"/>
    </row>
    <row r="157" spans="23:23" ht="12.75" customHeight="1">
      <c r="W157" s="4"/>
    </row>
    <row r="158" spans="23:23" ht="12.75" customHeight="1">
      <c r="W158" s="4"/>
    </row>
    <row r="159" spans="23:23" ht="12.75" customHeight="1">
      <c r="W159" s="4"/>
    </row>
    <row r="160" spans="23:23" ht="12.75" customHeight="1">
      <c r="W160" s="4"/>
    </row>
    <row r="161" spans="23:23" ht="12.75" customHeight="1">
      <c r="W161" s="4"/>
    </row>
    <row r="162" spans="23:23" ht="12.75" customHeight="1">
      <c r="W162" s="4"/>
    </row>
    <row r="163" spans="23:23" ht="12.75" customHeight="1">
      <c r="W163" s="4"/>
    </row>
    <row r="164" spans="23:23" ht="12.75" customHeight="1">
      <c r="W164" s="4"/>
    </row>
    <row r="165" spans="23:23" ht="12.75" customHeight="1">
      <c r="W165" s="4"/>
    </row>
    <row r="166" spans="23:23" ht="12.75" customHeight="1">
      <c r="W166" s="4"/>
    </row>
    <row r="167" spans="23:23" ht="12.75" customHeight="1">
      <c r="W167" s="4"/>
    </row>
    <row r="168" spans="23:23" ht="12.75" customHeight="1">
      <c r="W168" s="4"/>
    </row>
    <row r="169" spans="23:23" ht="12.75" customHeight="1">
      <c r="W169" s="4"/>
    </row>
    <row r="170" spans="23:23" ht="12.75" customHeight="1">
      <c r="W170" s="4"/>
    </row>
    <row r="171" spans="23:23" ht="12.75" customHeight="1">
      <c r="W171" s="4"/>
    </row>
    <row r="172" spans="23:23" ht="12.75" customHeight="1">
      <c r="W172" s="4"/>
    </row>
    <row r="173" spans="23:23" ht="12.75" customHeight="1">
      <c r="W173" s="4"/>
    </row>
    <row r="174" spans="23:23" ht="12.75" customHeight="1">
      <c r="W174" s="4"/>
    </row>
    <row r="175" spans="23:23" ht="12.75" customHeight="1">
      <c r="W175" s="4"/>
    </row>
    <row r="176" spans="23:23" ht="12.75" customHeight="1">
      <c r="W176" s="4"/>
    </row>
    <row r="177" spans="23:23" ht="12.75" customHeight="1">
      <c r="W177" s="4"/>
    </row>
    <row r="178" spans="23:23" ht="12.75" customHeight="1">
      <c r="W178" s="4"/>
    </row>
    <row r="179" spans="23:23" ht="12.75" customHeight="1">
      <c r="W179" s="4"/>
    </row>
    <row r="180" spans="23:23" ht="12.75" customHeight="1">
      <c r="W180" s="4"/>
    </row>
    <row r="181" spans="23:23" ht="12.75" customHeight="1">
      <c r="W181" s="4"/>
    </row>
    <row r="182" spans="23:23" ht="12.75" customHeight="1">
      <c r="W182" s="4"/>
    </row>
    <row r="183" spans="23:23" ht="12.75" customHeight="1">
      <c r="W183" s="4"/>
    </row>
    <row r="184" spans="23:23" ht="12.75" customHeight="1">
      <c r="W184" s="4"/>
    </row>
    <row r="185" spans="23:23" ht="12.75" customHeight="1">
      <c r="W185" s="4"/>
    </row>
    <row r="186" spans="23:23" ht="12.75" customHeight="1">
      <c r="W186" s="4"/>
    </row>
    <row r="187" spans="23:23" ht="12.75" customHeight="1">
      <c r="W187" s="4"/>
    </row>
    <row r="188" spans="23:23" ht="12.75" customHeight="1">
      <c r="W188" s="4"/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99"/>
  <sheetViews>
    <sheetView topLeftCell="A16" workbookViewId="0">
      <selection activeCell="G43" sqref="G43"/>
    </sheetView>
  </sheetViews>
  <sheetFormatPr defaultColWidth="6.7109375" defaultRowHeight="12.75" customHeight="1"/>
  <cols>
    <col min="1" max="1" width="8.7109375" style="2" customWidth="1"/>
    <col min="2" max="2" width="6.7109375" style="2" customWidth="1"/>
    <col min="3" max="3" width="8.7109375" style="2" customWidth="1"/>
    <col min="4" max="16384" width="6.7109375" style="2"/>
  </cols>
  <sheetData>
    <row r="1" spans="1:31" ht="12.75" customHeight="1">
      <c r="A1" s="25" t="s">
        <v>48</v>
      </c>
    </row>
    <row r="2" spans="1:31" s="5" customFormat="1" ht="12.75" customHeight="1">
      <c r="A2" s="5" t="s">
        <v>49</v>
      </c>
    </row>
    <row r="4" spans="1:31" ht="12.75" customHeight="1">
      <c r="A4" s="2" t="s">
        <v>25</v>
      </c>
      <c r="B4" s="1" t="s">
        <v>22</v>
      </c>
      <c r="C4" s="2">
        <v>1</v>
      </c>
      <c r="D4" s="15" t="s">
        <v>19</v>
      </c>
      <c r="U4" s="5"/>
      <c r="W4" s="5"/>
      <c r="X4" s="4"/>
      <c r="Z4" s="4"/>
      <c r="AA4" s="4"/>
      <c r="AC4" s="4"/>
      <c r="AD4" s="4"/>
      <c r="AE4" s="5"/>
    </row>
    <row r="5" spans="1:31" ht="12.75" customHeight="1">
      <c r="B5" s="1" t="s">
        <v>23</v>
      </c>
      <c r="C5" s="2">
        <v>1</v>
      </c>
      <c r="D5" s="15" t="s">
        <v>20</v>
      </c>
      <c r="U5" s="5"/>
      <c r="X5" s="4"/>
      <c r="Z5" s="4"/>
      <c r="AA5" s="4"/>
      <c r="AC5" s="4"/>
      <c r="AD5" s="4"/>
      <c r="AE5" s="5"/>
    </row>
    <row r="6" spans="1:31" ht="12.75" customHeight="1">
      <c r="B6" s="1" t="s">
        <v>24</v>
      </c>
      <c r="C6" s="2">
        <v>1</v>
      </c>
      <c r="U6" s="5"/>
      <c r="X6" s="4"/>
      <c r="Z6" s="4"/>
      <c r="AA6" s="4"/>
      <c r="AC6" s="4"/>
      <c r="AD6" s="4"/>
      <c r="AE6" s="5"/>
    </row>
    <row r="7" spans="1:31" ht="12.75" customHeight="1" thickBot="1">
      <c r="AA7" s="3"/>
    </row>
    <row r="8" spans="1:31" ht="12.75" customHeight="1">
      <c r="A8" s="8" t="s">
        <v>4</v>
      </c>
      <c r="B8" s="6" t="s">
        <v>1</v>
      </c>
      <c r="C8" s="17">
        <f>Summary!C5</f>
        <v>74.5</v>
      </c>
      <c r="D8" s="13"/>
      <c r="E8" s="13"/>
      <c r="F8" s="13"/>
      <c r="G8" s="13"/>
      <c r="H8" s="14"/>
      <c r="I8" s="13"/>
      <c r="AC8" s="4"/>
      <c r="AD8" s="5"/>
    </row>
    <row r="9" spans="1:31" ht="12.75" customHeight="1">
      <c r="A9" s="8"/>
      <c r="B9" s="7" t="s">
        <v>2</v>
      </c>
      <c r="C9" s="17">
        <f>Summary!C6</f>
        <v>17.3</v>
      </c>
      <c r="AC9" s="4"/>
      <c r="AD9" s="5"/>
    </row>
    <row r="10" spans="1:31" ht="12.75" customHeight="1" thickBot="1">
      <c r="A10" s="8"/>
      <c r="B10" s="9" t="s">
        <v>3</v>
      </c>
      <c r="C10" s="17">
        <f>Summary!C7</f>
        <v>12.2</v>
      </c>
      <c r="AC10" s="4"/>
      <c r="AD10" s="5"/>
    </row>
    <row r="11" spans="1:31" ht="12.75" customHeight="1">
      <c r="A11" s="8"/>
      <c r="B11" s="8" t="s">
        <v>9</v>
      </c>
      <c r="C11" s="8">
        <f>(C9^2+C10^2)^0.5</f>
        <v>21.16908122711045</v>
      </c>
      <c r="AC11" s="4"/>
      <c r="AD11" s="5"/>
    </row>
    <row r="12" spans="1:31" ht="12.75" customHeight="1">
      <c r="A12" s="8"/>
      <c r="B12" s="8" t="s">
        <v>6</v>
      </c>
      <c r="C12" s="8">
        <f>(1+C20)*C9</f>
        <v>21.692622100236065</v>
      </c>
      <c r="AC12" s="4"/>
      <c r="AD12" s="5"/>
    </row>
    <row r="13" spans="1:31" ht="12.75" customHeight="1">
      <c r="A13" s="8"/>
      <c r="B13" s="8" t="s">
        <v>8</v>
      </c>
      <c r="C13" s="8">
        <f>C10</f>
        <v>12.2</v>
      </c>
      <c r="AC13" s="4"/>
      <c r="AD13" s="5"/>
    </row>
    <row r="14" spans="1:31" ht="12.75" customHeight="1">
      <c r="A14" s="8"/>
      <c r="B14" s="8" t="s">
        <v>7</v>
      </c>
      <c r="C14" s="8">
        <f>(C12^2+C13^2)^0.5</f>
        <v>24.88794594946819</v>
      </c>
      <c r="AC14" s="4"/>
      <c r="AD14" s="5"/>
    </row>
    <row r="15" spans="1:31" ht="12.75" customHeight="1" thickBot="1">
      <c r="A15" s="8"/>
      <c r="B15" s="8" t="s">
        <v>11</v>
      </c>
      <c r="C15" s="8">
        <f>IF(C13&gt;0,DEGREES(ATAN2(C12,C13)),360+DEGREES(ATAN2(C12,C13)))</f>
        <v>29.353540035846304</v>
      </c>
      <c r="AC15" s="4"/>
      <c r="AD15" s="5"/>
    </row>
    <row r="16" spans="1:31" ht="12.75" customHeight="1">
      <c r="A16" s="8" t="s">
        <v>0</v>
      </c>
      <c r="B16" s="6" t="s">
        <v>38</v>
      </c>
      <c r="C16" s="17">
        <f>Summary!C10</f>
        <v>76.099999999999994</v>
      </c>
      <c r="D16" s="13"/>
      <c r="AC16" s="4"/>
      <c r="AD16" s="5"/>
    </row>
    <row r="17" spans="1:30" ht="12.75" customHeight="1">
      <c r="A17" s="8"/>
      <c r="B17" s="7" t="s">
        <v>32</v>
      </c>
      <c r="C17" s="17">
        <f>Summary!C11</f>
        <v>15.5</v>
      </c>
      <c r="AC17" s="4"/>
      <c r="AD17" s="5"/>
    </row>
    <row r="18" spans="1:30" ht="12.75" customHeight="1" thickBot="1">
      <c r="A18" s="8"/>
      <c r="B18" s="9" t="s">
        <v>31</v>
      </c>
      <c r="C18" s="17">
        <f>Summary!C12</f>
        <v>14.63</v>
      </c>
    </row>
    <row r="19" spans="1:30" ht="12.75" customHeight="1">
      <c r="A19" s="8"/>
      <c r="B19" s="8" t="s">
        <v>33</v>
      </c>
      <c r="C19" s="8">
        <f>(C17^2+C18^2)^0.5</f>
        <v>21.314007131461697</v>
      </c>
    </row>
    <row r="20" spans="1:30" ht="12.75" customHeight="1">
      <c r="A20" s="8"/>
      <c r="B20" s="8" t="s">
        <v>5</v>
      </c>
      <c r="C20" s="8">
        <f>0.5*(1-(((C11+C19)/2)^7/(((C11+C19)/2)^7+25^7))^0.5)</f>
        <v>0.25390879192115989</v>
      </c>
      <c r="W20" s="4"/>
    </row>
    <row r="21" spans="1:30" ht="12.75" customHeight="1">
      <c r="A21" s="8"/>
      <c r="B21" s="8" t="s">
        <v>34</v>
      </c>
      <c r="C21" s="8">
        <f>(1+C20)*C17</f>
        <v>19.435586274777975</v>
      </c>
      <c r="W21" s="4"/>
    </row>
    <row r="22" spans="1:30" ht="12.75" customHeight="1">
      <c r="A22" s="8"/>
      <c r="B22" s="8" t="s">
        <v>35</v>
      </c>
      <c r="C22" s="8">
        <f>C18</f>
        <v>14.63</v>
      </c>
      <c r="W22" s="4"/>
    </row>
    <row r="23" spans="1:30" ht="12.75" customHeight="1">
      <c r="A23" s="8"/>
      <c r="B23" s="8" t="s">
        <v>36</v>
      </c>
      <c r="C23" s="8">
        <f>(C21^2+C22^2)^0.5</f>
        <v>24.326506404421043</v>
      </c>
      <c r="W23" s="4"/>
    </row>
    <row r="24" spans="1:30" ht="12.75" customHeight="1">
      <c r="A24" s="8"/>
      <c r="B24" s="8" t="s">
        <v>37</v>
      </c>
      <c r="C24" s="8">
        <f>IF(C22&gt;0,DEGREES(ATAN2(C21,C22)),360+DEGREES(ATAN2(C21,C22)))</f>
        <v>36.970346312328878</v>
      </c>
      <c r="W24" s="4"/>
    </row>
    <row r="25" spans="1:30" ht="12.75" customHeight="1">
      <c r="A25" s="8"/>
      <c r="B25" s="8" t="s">
        <v>14</v>
      </c>
      <c r="C25" s="8">
        <f>(C14+C23)/2</f>
        <v>24.607226176944614</v>
      </c>
      <c r="W25" s="4"/>
    </row>
    <row r="26" spans="1:30" ht="12.75" customHeight="1">
      <c r="A26" s="8"/>
      <c r="B26" s="8" t="s">
        <v>13</v>
      </c>
      <c r="C26" s="8">
        <f>IF(ABS(C24-C15)&lt;=180,(C24+C15)/2,(C24+C15-360)/2)</f>
        <v>33.16194317408759</v>
      </c>
      <c r="W26" s="4"/>
    </row>
    <row r="27" spans="1:30" ht="12.75" customHeight="1">
      <c r="A27" s="8"/>
      <c r="B27" s="10" t="s">
        <v>18</v>
      </c>
      <c r="C27" s="8">
        <f>IF(ABS(C15-C24)&lt;=180,ABS(C15-C24),360-ABS(C15-C24))</f>
        <v>7.6168062764825741</v>
      </c>
      <c r="W27" s="4"/>
    </row>
    <row r="28" spans="1:30" ht="12.75" customHeight="1">
      <c r="A28" s="8"/>
      <c r="B28" s="10" t="s">
        <v>15</v>
      </c>
      <c r="C28" s="8">
        <f>ABS(C8-C16)</f>
        <v>1.5999999999999943</v>
      </c>
      <c r="W28" s="4"/>
    </row>
    <row r="29" spans="1:30" ht="12.75" customHeight="1">
      <c r="A29" s="8"/>
      <c r="B29" s="10" t="s">
        <v>16</v>
      </c>
      <c r="C29" s="8">
        <f>ABS(C14-C23)</f>
        <v>0.56143954504714699</v>
      </c>
      <c r="W29" s="4"/>
    </row>
    <row r="30" spans="1:30" ht="12.75" customHeight="1">
      <c r="A30" s="8"/>
      <c r="B30" s="10" t="s">
        <v>17</v>
      </c>
      <c r="C30" s="11">
        <f>2*((C23*C14)^0.5)*SIN(RADIANS(C27)/2)</f>
        <v>3.2686230058938488</v>
      </c>
      <c r="W30" s="4"/>
    </row>
    <row r="31" spans="1:30" ht="12.75" customHeight="1">
      <c r="A31" s="8"/>
      <c r="B31" s="8" t="s">
        <v>10</v>
      </c>
      <c r="C31" s="11">
        <f>1-0.17*COS(RADIANS(C26-30))+0.24*COS(RADIANS(2*C26))+0.32*COS(RADIANS(3*C26+6))-0.2*COS(RADIANS(4*C26-63))</f>
        <v>0.77163654676387372</v>
      </c>
      <c r="W31" s="4"/>
    </row>
    <row r="32" spans="1:30" ht="12.75" customHeight="1">
      <c r="A32" s="8"/>
      <c r="B32" s="8" t="s">
        <v>26</v>
      </c>
      <c r="C32" s="11">
        <f>1+(0.015*((C16+C8)/2-50)^2)/(20+((C16+C8)/2-50)^2)^0.5</f>
        <v>1.3737065627519238</v>
      </c>
      <c r="W32" s="4"/>
    </row>
    <row r="33" spans="1:23" ht="12.75" customHeight="1">
      <c r="A33" s="8"/>
      <c r="B33" s="8" t="s">
        <v>27</v>
      </c>
      <c r="C33" s="8">
        <f>1+0.045*(C14+C23)/2</f>
        <v>2.1073251779625073</v>
      </c>
      <c r="W33" s="4"/>
    </row>
    <row r="34" spans="1:23" ht="12.75" customHeight="1">
      <c r="A34" s="8"/>
      <c r="B34" s="8" t="s">
        <v>28</v>
      </c>
      <c r="C34" s="11">
        <f>1+0.015*((C23+C14)/2)*C31</f>
        <v>1.2848175254892271</v>
      </c>
      <c r="W34" s="4"/>
    </row>
    <row r="35" spans="1:23" ht="12.75" customHeight="1">
      <c r="A35" s="8"/>
      <c r="B35" s="10" t="s">
        <v>12</v>
      </c>
      <c r="C35" s="11">
        <f>30*EXP(-(((C26-275)/25)^2))</f>
        <v>6.8727748603681896E-40</v>
      </c>
      <c r="W35" s="4"/>
    </row>
    <row r="36" spans="1:23" ht="12.75" customHeight="1">
      <c r="A36" s="8"/>
      <c r="B36" s="8" t="s">
        <v>29</v>
      </c>
      <c r="C36" s="11">
        <f>2*((C25^7)/(C25^7+25^7))^0.5</f>
        <v>1.374504864128465</v>
      </c>
      <c r="W36" s="4"/>
    </row>
    <row r="37" spans="1:23" ht="12.75" customHeight="1">
      <c r="A37" s="8"/>
      <c r="B37" s="8" t="s">
        <v>30</v>
      </c>
      <c r="C37" s="11">
        <f>-SIN(2*RADIANS(C35))*C36</f>
        <v>-3.297507270488904E-41</v>
      </c>
      <c r="W37" s="4"/>
    </row>
    <row r="38" spans="1:23" ht="12.75" customHeight="1">
      <c r="A38" s="8"/>
      <c r="B38" s="12" t="s">
        <v>21</v>
      </c>
      <c r="C38" s="11">
        <f>((C28/(C32*C$4))^2+(C29/(C33*C$5))^2+(C30/(C34*C$6))^2+C37*(C29/(C33*C$5))*(C30/(C34*C$6)))^0.5</f>
        <v>2.8106413453871988</v>
      </c>
      <c r="W38" s="4"/>
    </row>
    <row r="39" spans="1:23" ht="12.75" customHeight="1">
      <c r="W39" s="4"/>
    </row>
    <row r="40" spans="1:23" ht="12.75" customHeight="1">
      <c r="W40" s="4"/>
    </row>
    <row r="41" spans="1:23" ht="12.75" customHeight="1">
      <c r="W41" s="4"/>
    </row>
    <row r="42" spans="1:23" ht="12.75" customHeight="1">
      <c r="W42" s="4"/>
    </row>
    <row r="43" spans="1:23" ht="12.75" customHeight="1">
      <c r="W43" s="4"/>
    </row>
    <row r="44" spans="1:23" ht="12.75" customHeight="1">
      <c r="W44" s="4"/>
    </row>
    <row r="45" spans="1:23" ht="12.75" customHeight="1">
      <c r="W45" s="4"/>
    </row>
    <row r="46" spans="1:23" ht="12.75" customHeight="1">
      <c r="W46" s="4"/>
    </row>
    <row r="47" spans="1:23" ht="12.75" customHeight="1">
      <c r="W47" s="4"/>
    </row>
    <row r="48" spans="1:23" ht="12.75" customHeight="1">
      <c r="W48" s="4"/>
    </row>
    <row r="49" spans="23:23" ht="12.75" customHeight="1">
      <c r="W49" s="4"/>
    </row>
    <row r="50" spans="23:23" ht="12.75" customHeight="1">
      <c r="W50" s="4"/>
    </row>
    <row r="51" spans="23:23" ht="12.75" customHeight="1">
      <c r="W51" s="4"/>
    </row>
    <row r="52" spans="23:23" ht="12.75" customHeight="1">
      <c r="W52" s="4"/>
    </row>
    <row r="53" spans="23:23" ht="12.75" customHeight="1">
      <c r="W53" s="4"/>
    </row>
    <row r="54" spans="23:23" ht="12.75" customHeight="1">
      <c r="W54" s="4"/>
    </row>
    <row r="55" spans="23:23" ht="12.75" customHeight="1">
      <c r="W55" s="4"/>
    </row>
    <row r="56" spans="23:23" ht="12.75" customHeight="1">
      <c r="W56" s="4"/>
    </row>
    <row r="57" spans="23:23" ht="12.75" customHeight="1">
      <c r="W57" s="4"/>
    </row>
    <row r="58" spans="23:23" ht="12.75" customHeight="1">
      <c r="W58" s="4"/>
    </row>
    <row r="59" spans="23:23" ht="12.75" customHeight="1">
      <c r="W59" s="4"/>
    </row>
    <row r="60" spans="23:23" ht="12.75" customHeight="1">
      <c r="W60" s="4"/>
    </row>
    <row r="61" spans="23:23" ht="12.75" customHeight="1">
      <c r="W61" s="4"/>
    </row>
    <row r="62" spans="23:23" ht="12.75" customHeight="1">
      <c r="W62" s="4"/>
    </row>
    <row r="63" spans="23:23" ht="12.75" customHeight="1">
      <c r="W63" s="4"/>
    </row>
    <row r="64" spans="23:23" ht="12.75" customHeight="1">
      <c r="W64" s="4"/>
    </row>
    <row r="65" spans="23:23" ht="12.75" customHeight="1">
      <c r="W65" s="4"/>
    </row>
    <row r="66" spans="23:23" ht="12.75" customHeight="1">
      <c r="W66" s="4"/>
    </row>
    <row r="67" spans="23:23" ht="12.75" customHeight="1">
      <c r="W67" s="4"/>
    </row>
    <row r="68" spans="23:23" ht="12.75" customHeight="1">
      <c r="W68" s="4"/>
    </row>
    <row r="69" spans="23:23" ht="12.75" customHeight="1">
      <c r="W69" s="4"/>
    </row>
    <row r="70" spans="23:23" ht="12.75" customHeight="1">
      <c r="W70" s="4"/>
    </row>
    <row r="71" spans="23:23" ht="12.75" customHeight="1">
      <c r="W71" s="4"/>
    </row>
    <row r="72" spans="23:23" ht="12.75" customHeight="1">
      <c r="W72" s="4"/>
    </row>
    <row r="73" spans="23:23" ht="12.75" customHeight="1">
      <c r="W73" s="4"/>
    </row>
    <row r="74" spans="23:23" ht="12.75" customHeight="1">
      <c r="W74" s="4"/>
    </row>
    <row r="75" spans="23:23" ht="12.75" customHeight="1">
      <c r="W75" s="4"/>
    </row>
    <row r="76" spans="23:23" ht="12.75" customHeight="1">
      <c r="W76" s="4"/>
    </row>
    <row r="77" spans="23:23" ht="12.75" customHeight="1">
      <c r="W77" s="4"/>
    </row>
    <row r="78" spans="23:23" ht="12.75" customHeight="1">
      <c r="W78" s="4"/>
    </row>
    <row r="79" spans="23:23" ht="12.75" customHeight="1">
      <c r="W79" s="4"/>
    </row>
    <row r="80" spans="23:23" ht="12.75" customHeight="1">
      <c r="W80" s="4"/>
    </row>
    <row r="81" spans="23:23" ht="12.75" customHeight="1">
      <c r="W81" s="4"/>
    </row>
    <row r="82" spans="23:23" ht="12.75" customHeight="1">
      <c r="W82" s="4"/>
    </row>
    <row r="83" spans="23:23" ht="12.75" customHeight="1">
      <c r="W83" s="4"/>
    </row>
    <row r="84" spans="23:23" ht="12.75" customHeight="1">
      <c r="W84" s="4"/>
    </row>
    <row r="85" spans="23:23" ht="12.75" customHeight="1">
      <c r="W85" s="4"/>
    </row>
    <row r="86" spans="23:23" ht="12.75" customHeight="1">
      <c r="W86" s="4"/>
    </row>
    <row r="87" spans="23:23" ht="12.75" customHeight="1">
      <c r="W87" s="4"/>
    </row>
    <row r="88" spans="23:23" ht="12.75" customHeight="1">
      <c r="W88" s="4"/>
    </row>
    <row r="89" spans="23:23" ht="12.75" customHeight="1">
      <c r="W89" s="4"/>
    </row>
    <row r="90" spans="23:23" ht="12.75" customHeight="1">
      <c r="W90" s="4"/>
    </row>
    <row r="91" spans="23:23" ht="12.75" customHeight="1">
      <c r="W91" s="4"/>
    </row>
    <row r="92" spans="23:23" ht="12.75" customHeight="1">
      <c r="W92" s="4"/>
    </row>
    <row r="93" spans="23:23" ht="12.75" customHeight="1">
      <c r="W93" s="4"/>
    </row>
    <row r="94" spans="23:23" ht="12.75" customHeight="1">
      <c r="W94" s="4"/>
    </row>
    <row r="95" spans="23:23" ht="12.75" customHeight="1">
      <c r="W95" s="4"/>
    </row>
    <row r="96" spans="23:23" ht="12.75" customHeight="1">
      <c r="W96" s="4"/>
    </row>
    <row r="97" spans="23:23" ht="12.75" customHeight="1">
      <c r="W97" s="4"/>
    </row>
    <row r="98" spans="23:23" ht="12.75" customHeight="1">
      <c r="W98" s="4"/>
    </row>
    <row r="99" spans="23:23" ht="12.75" customHeight="1">
      <c r="W99" s="4"/>
    </row>
    <row r="100" spans="23:23" ht="12.75" customHeight="1">
      <c r="W100" s="4"/>
    </row>
    <row r="101" spans="23:23" ht="12.75" customHeight="1">
      <c r="W101" s="4"/>
    </row>
    <row r="102" spans="23:23" ht="12.75" customHeight="1">
      <c r="W102" s="4"/>
    </row>
    <row r="103" spans="23:23" ht="12.75" customHeight="1">
      <c r="W103" s="4"/>
    </row>
    <row r="104" spans="23:23" ht="12.75" customHeight="1">
      <c r="W104" s="4"/>
    </row>
    <row r="105" spans="23:23" ht="12.75" customHeight="1">
      <c r="W105" s="4"/>
    </row>
    <row r="106" spans="23:23" ht="12.75" customHeight="1">
      <c r="W106" s="4"/>
    </row>
    <row r="107" spans="23:23" ht="12.75" customHeight="1">
      <c r="W107" s="4"/>
    </row>
    <row r="108" spans="23:23" ht="12.75" customHeight="1">
      <c r="W108" s="4"/>
    </row>
    <row r="109" spans="23:23" ht="12.75" customHeight="1">
      <c r="W109" s="4"/>
    </row>
    <row r="110" spans="23:23" ht="12.75" customHeight="1">
      <c r="W110" s="4"/>
    </row>
    <row r="111" spans="23:23" ht="12.75" customHeight="1">
      <c r="W111" s="4"/>
    </row>
    <row r="112" spans="23:23" ht="12.75" customHeight="1">
      <c r="W112" s="4"/>
    </row>
    <row r="113" spans="23:23" ht="12.75" customHeight="1">
      <c r="W113" s="4"/>
    </row>
    <row r="114" spans="23:23" ht="12.75" customHeight="1">
      <c r="W114" s="4"/>
    </row>
    <row r="115" spans="23:23" ht="12.75" customHeight="1">
      <c r="W115" s="4"/>
    </row>
    <row r="116" spans="23:23" ht="12.75" customHeight="1">
      <c r="W116" s="4"/>
    </row>
    <row r="117" spans="23:23" ht="12.75" customHeight="1">
      <c r="W117" s="4"/>
    </row>
    <row r="118" spans="23:23" ht="12.75" customHeight="1">
      <c r="W118" s="4"/>
    </row>
    <row r="119" spans="23:23" ht="12.75" customHeight="1">
      <c r="W119" s="4"/>
    </row>
    <row r="120" spans="23:23" ht="12.75" customHeight="1">
      <c r="W120" s="4"/>
    </row>
    <row r="121" spans="23:23" ht="12.75" customHeight="1">
      <c r="W121" s="4"/>
    </row>
    <row r="122" spans="23:23" ht="12.75" customHeight="1">
      <c r="W122" s="4"/>
    </row>
    <row r="123" spans="23:23" ht="12.75" customHeight="1">
      <c r="W123" s="4"/>
    </row>
    <row r="124" spans="23:23" ht="12.75" customHeight="1">
      <c r="W124" s="4"/>
    </row>
    <row r="125" spans="23:23" ht="12.75" customHeight="1">
      <c r="W125" s="4"/>
    </row>
    <row r="126" spans="23:23" ht="12.75" customHeight="1">
      <c r="W126" s="4"/>
    </row>
    <row r="127" spans="23:23" ht="12.75" customHeight="1">
      <c r="W127" s="4"/>
    </row>
    <row r="128" spans="23:23" ht="12.75" customHeight="1">
      <c r="W128" s="4"/>
    </row>
    <row r="129" spans="23:23" ht="12.75" customHeight="1">
      <c r="W129" s="4"/>
    </row>
    <row r="130" spans="23:23" ht="12.75" customHeight="1">
      <c r="W130" s="4"/>
    </row>
    <row r="131" spans="23:23" ht="12.75" customHeight="1">
      <c r="W131" s="4"/>
    </row>
    <row r="132" spans="23:23" ht="12.75" customHeight="1">
      <c r="W132" s="4"/>
    </row>
    <row r="133" spans="23:23" ht="12.75" customHeight="1">
      <c r="W133" s="4"/>
    </row>
    <row r="134" spans="23:23" ht="12.75" customHeight="1">
      <c r="W134" s="4"/>
    </row>
    <row r="135" spans="23:23" ht="12.75" customHeight="1">
      <c r="W135" s="4"/>
    </row>
    <row r="136" spans="23:23" ht="12.75" customHeight="1">
      <c r="W136" s="4"/>
    </row>
    <row r="137" spans="23:23" ht="12.75" customHeight="1">
      <c r="W137" s="4"/>
    </row>
    <row r="138" spans="23:23" ht="12.75" customHeight="1">
      <c r="W138" s="4"/>
    </row>
    <row r="139" spans="23:23" ht="12.75" customHeight="1">
      <c r="W139" s="4"/>
    </row>
    <row r="140" spans="23:23" ht="12.75" customHeight="1">
      <c r="W140" s="4"/>
    </row>
    <row r="141" spans="23:23" ht="12.75" customHeight="1">
      <c r="W141" s="4"/>
    </row>
    <row r="142" spans="23:23" ht="12.75" customHeight="1">
      <c r="W142" s="4"/>
    </row>
    <row r="143" spans="23:23" ht="12.75" customHeight="1">
      <c r="W143" s="4"/>
    </row>
    <row r="144" spans="23:23" ht="12.75" customHeight="1">
      <c r="W144" s="4"/>
    </row>
    <row r="145" spans="23:23" ht="12.75" customHeight="1">
      <c r="W145" s="4"/>
    </row>
    <row r="146" spans="23:23" ht="12.75" customHeight="1">
      <c r="W146" s="4"/>
    </row>
    <row r="147" spans="23:23" ht="12.75" customHeight="1">
      <c r="W147" s="4"/>
    </row>
    <row r="148" spans="23:23" ht="12.75" customHeight="1">
      <c r="W148" s="4"/>
    </row>
    <row r="149" spans="23:23" ht="12.75" customHeight="1">
      <c r="W149" s="4"/>
    </row>
    <row r="150" spans="23:23" ht="12.75" customHeight="1">
      <c r="W150" s="4"/>
    </row>
    <row r="151" spans="23:23" ht="12.75" customHeight="1">
      <c r="W151" s="4"/>
    </row>
    <row r="152" spans="23:23" ht="12.75" customHeight="1">
      <c r="W152" s="4"/>
    </row>
    <row r="153" spans="23:23" ht="12.75" customHeight="1">
      <c r="W153" s="4"/>
    </row>
    <row r="154" spans="23:23" ht="12.75" customHeight="1">
      <c r="W154" s="4"/>
    </row>
    <row r="155" spans="23:23" ht="12.75" customHeight="1">
      <c r="W155" s="4"/>
    </row>
    <row r="156" spans="23:23" ht="12.75" customHeight="1">
      <c r="W156" s="4"/>
    </row>
    <row r="157" spans="23:23" ht="12.75" customHeight="1">
      <c r="W157" s="4"/>
    </row>
    <row r="158" spans="23:23" ht="12.75" customHeight="1">
      <c r="W158" s="4"/>
    </row>
    <row r="159" spans="23:23" ht="12.75" customHeight="1">
      <c r="W159" s="4"/>
    </row>
    <row r="160" spans="23:23" ht="12.75" customHeight="1">
      <c r="W160" s="4"/>
    </row>
    <row r="161" spans="23:23" ht="12.75" customHeight="1">
      <c r="W161" s="4"/>
    </row>
    <row r="162" spans="23:23" ht="12.75" customHeight="1">
      <c r="W162" s="4"/>
    </row>
    <row r="163" spans="23:23" ht="12.75" customHeight="1">
      <c r="W163" s="4"/>
    </row>
    <row r="164" spans="23:23" ht="12.75" customHeight="1">
      <c r="W164" s="4"/>
    </row>
    <row r="165" spans="23:23" ht="12.75" customHeight="1">
      <c r="W165" s="4"/>
    </row>
    <row r="166" spans="23:23" ht="12.75" customHeight="1">
      <c r="W166" s="4"/>
    </row>
    <row r="167" spans="23:23" ht="12.75" customHeight="1">
      <c r="W167" s="4"/>
    </row>
    <row r="168" spans="23:23" ht="12.75" customHeight="1">
      <c r="W168" s="4"/>
    </row>
    <row r="169" spans="23:23" ht="12.75" customHeight="1">
      <c r="W169" s="4"/>
    </row>
    <row r="170" spans="23:23" ht="12.75" customHeight="1">
      <c r="W170" s="4"/>
    </row>
    <row r="171" spans="23:23" ht="12.75" customHeight="1">
      <c r="W171" s="4"/>
    </row>
    <row r="172" spans="23:23" ht="12.75" customHeight="1">
      <c r="W172" s="4"/>
    </row>
    <row r="173" spans="23:23" ht="12.75" customHeight="1">
      <c r="W173" s="4"/>
    </row>
    <row r="174" spans="23:23" ht="12.75" customHeight="1">
      <c r="W174" s="4"/>
    </row>
    <row r="175" spans="23:23" ht="12.75" customHeight="1">
      <c r="W175" s="4"/>
    </row>
    <row r="176" spans="23:23" ht="12.75" customHeight="1">
      <c r="W176" s="4"/>
    </row>
    <row r="177" spans="23:23" ht="12.75" customHeight="1">
      <c r="W177" s="4"/>
    </row>
    <row r="178" spans="23:23" ht="12.75" customHeight="1">
      <c r="W178" s="4"/>
    </row>
    <row r="179" spans="23:23" ht="12.75" customHeight="1">
      <c r="W179" s="4"/>
    </row>
    <row r="180" spans="23:23" ht="12.75" customHeight="1">
      <c r="W180" s="4"/>
    </row>
    <row r="181" spans="23:23" ht="12.75" customHeight="1">
      <c r="W181" s="4"/>
    </row>
    <row r="182" spans="23:23" ht="12.75" customHeight="1">
      <c r="W182" s="4"/>
    </row>
    <row r="183" spans="23:23" ht="12.75" customHeight="1">
      <c r="W183" s="4"/>
    </row>
    <row r="184" spans="23:23" ht="12.75" customHeight="1">
      <c r="W184" s="4"/>
    </row>
    <row r="185" spans="23:23" ht="12.75" customHeight="1">
      <c r="W185" s="4"/>
    </row>
    <row r="186" spans="23:23" ht="12.75" customHeight="1">
      <c r="W186" s="4"/>
    </row>
    <row r="187" spans="23:23" ht="12.75" customHeight="1">
      <c r="W187" s="4"/>
    </row>
    <row r="188" spans="23:23" ht="12.75" customHeight="1">
      <c r="W188" s="4"/>
    </row>
    <row r="189" spans="23:23" ht="12.75" customHeight="1">
      <c r="W189" s="4"/>
    </row>
    <row r="190" spans="23:23" ht="12.75" customHeight="1">
      <c r="W190" s="4"/>
    </row>
    <row r="191" spans="23:23" ht="12.75" customHeight="1">
      <c r="W191" s="4"/>
    </row>
    <row r="192" spans="23:23" ht="12.75" customHeight="1">
      <c r="W192" s="4"/>
    </row>
    <row r="193" spans="23:23" ht="12.75" customHeight="1">
      <c r="W193" s="4"/>
    </row>
    <row r="194" spans="23:23" ht="12.75" customHeight="1">
      <c r="W194" s="4"/>
    </row>
    <row r="195" spans="23:23" ht="12.75" customHeight="1">
      <c r="W195" s="4"/>
    </row>
    <row r="196" spans="23:23" ht="12.75" customHeight="1">
      <c r="W196" s="4"/>
    </row>
    <row r="197" spans="23:23" ht="12.75" customHeight="1">
      <c r="W197" s="4"/>
    </row>
    <row r="198" spans="23:23" ht="12.75" customHeight="1">
      <c r="W198" s="4"/>
    </row>
    <row r="199" spans="23:23" ht="12.75" customHeight="1">
      <c r="W199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CIELAB</vt:lpstr>
      <vt:lpstr>CIE94</vt:lpstr>
      <vt:lpstr>CMC</vt:lpstr>
      <vt:lpstr>CIEDE2000</vt:lpstr>
    </vt:vector>
  </TitlesOfParts>
  <Company>Colour Imaging Group, LCP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CIE DE2000 colour difference</dc:title>
  <dc:creator>Phil Green</dc:creator>
  <cp:lastModifiedBy>Lindsay MacDonald</cp:lastModifiedBy>
  <dcterms:created xsi:type="dcterms:W3CDTF">2000-12-08T23:44:40Z</dcterms:created>
  <dcterms:modified xsi:type="dcterms:W3CDTF">2009-02-08T19:04:16Z</dcterms:modified>
</cp:coreProperties>
</file>