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" sheetId="1" r:id="rId4"/>
    <sheet state="visible" name="Backup1" sheetId="2" r:id="rId5"/>
    <sheet state="hidden" name="Mapping" sheetId="3" r:id="rId6"/>
  </sheets>
  <definedNames>
    <definedName name="DataBytes">Mapping!$B$3:$B$18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Payload rate seems to be stuck at 12
	-Anonymous</t>
      </text>
    </comment>
  </commentList>
</comments>
</file>

<file path=xl/sharedStrings.xml><?xml version="1.0" encoding="utf-8"?>
<sst xmlns="http://schemas.openxmlformats.org/spreadsheetml/2006/main" count="111" uniqueCount="53">
  <si>
    <t>CAN FD Explained - A Simple Intro: Efficiency &amp; Average Bit Rates</t>
  </si>
  <si>
    <r>
      <rPr>
        <rFont val="Comfortaa, Arial"/>
        <b/>
        <color rgb="FF3D85C6"/>
      </rPr>
      <t xml:space="preserve">How to use: </t>
    </r>
    <r>
      <rPr>
        <rFont val="Comfortaa, Arial"/>
        <b val="0"/>
        <color rgb="FF3D85C6"/>
      </rPr>
      <t xml:space="preserve">You can edit the yellow cells and trace the changes in the below formulas.
</t>
    </r>
    <r>
      <rPr>
        <rFont val="Comfortaa, Arial"/>
        <b/>
        <color rgb="FF3D85C6"/>
      </rPr>
      <t xml:space="preserve">Note: </t>
    </r>
    <r>
      <rPr>
        <rFont val="Comfortaa, Arial"/>
        <b val="0"/>
        <color rgb="FF3D85C6"/>
      </rPr>
      <t>Below ignores stuff bits</t>
    </r>
  </si>
  <si>
    <t>Variable</t>
  </si>
  <si>
    <t>Value</t>
  </si>
  <si>
    <t>#Data Bytes</t>
  </si>
  <si>
    <t>Include FSB? (YES/NO)</t>
  </si>
  <si>
    <t>YES</t>
  </si>
  <si>
    <t>Arbitration Rate (Mbit/s)</t>
  </si>
  <si>
    <t>Payload Rate (Mbit/s)</t>
  </si>
  <si>
    <t>CAN Frame</t>
  </si>
  <si>
    <t>Header</t>
  </si>
  <si>
    <t>Payload</t>
  </si>
  <si>
    <t>Footer</t>
  </si>
  <si>
    <t>Sections</t>
  </si>
  <si>
    <t>#bits</t>
  </si>
  <si>
    <t>SOF</t>
  </si>
  <si>
    <t>ID</t>
  </si>
  <si>
    <t>RTR/RRS</t>
  </si>
  <si>
    <t>IDE</t>
  </si>
  <si>
    <t>r0/FDF</t>
  </si>
  <si>
    <t>res</t>
  </si>
  <si>
    <t>BRS</t>
  </si>
  <si>
    <t>ESI</t>
  </si>
  <si>
    <t>DLC</t>
  </si>
  <si>
    <t>DATA</t>
  </si>
  <si>
    <t>STC</t>
  </si>
  <si>
    <t>CRC</t>
  </si>
  <si>
    <t>CRC D</t>
  </si>
  <si>
    <t>ACK</t>
  </si>
  <si>
    <t>ACK D</t>
  </si>
  <si>
    <t>EOF</t>
  </si>
  <si>
    <t>IFS</t>
  </si>
  <si>
    <t>(Data)</t>
  </si>
  <si>
    <t>Total</t>
  </si>
  <si>
    <t>Efficiency</t>
  </si>
  <si>
    <t>Avg. Bit Rate (Mbit/s)</t>
  </si>
  <si>
    <t>Classic CAN</t>
  </si>
  <si>
    <t>CAN FD</t>
  </si>
  <si>
    <t>Value(s)</t>
  </si>
  <si>
    <t>Arbitration (Mbit/s)</t>
  </si>
  <si>
    <t>CAN FD Header (#bits)</t>
  </si>
  <si>
    <t>CAN FD Footer (#bits)</t>
  </si>
  <si>
    <t>CAN FD Payload excl. CRC and Data Bytes (#bits)</t>
  </si>
  <si>
    <t>Data (#bits)</t>
  </si>
  <si>
    <t>Payload (Mbit/s)</t>
  </si>
  <si>
    <t>CAN FD (8 Data Bytes)</t>
  </si>
  <si>
    <t>CAN FD (16 Data Bytes)</t>
  </si>
  <si>
    <t>CAN FD (24 Data Bytes)</t>
  </si>
  <si>
    <t>CAN FD (48 Data Bytes)</t>
  </si>
  <si>
    <t>CAN FD (64 Data Bytes)</t>
  </si>
  <si>
    <r>
      <rPr>
        <rFont val="Comfortaa, Arial"/>
        <b/>
        <color rgb="FF3D85C6"/>
      </rPr>
      <t xml:space="preserve">How to use: </t>
    </r>
    <r>
      <rPr>
        <rFont val="Comfortaa, Arial"/>
        <b val="0"/>
        <color rgb="FF3D85C6"/>
      </rPr>
      <t xml:space="preserve">You can edit the yellow cells and trace the changes in the below formulas.
</t>
    </r>
    <r>
      <rPr>
        <rFont val="Comfortaa, Arial"/>
        <b/>
        <color rgb="FF3D85C6"/>
      </rPr>
      <t xml:space="preserve">Note: </t>
    </r>
    <r>
      <rPr>
        <rFont val="Comfortaa, Arial"/>
        <b val="0"/>
        <color rgb="FF3D85C6"/>
      </rPr>
      <t>Below ignores stuff bits</t>
    </r>
  </si>
  <si>
    <t>NO</t>
  </si>
  <si>
    <t>Data Bytes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</si>
</sst>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#,##0.0"/>
  </numFmts>
  <fonts count="15">
    <font>
      <sz val="10.0"/>
      <color rgb="FF000000"/>
      <name val="Arial"/>
    </font>
    <font>
      <color theme="1"/>
      <name val="Arial"/>
    </font>
    <font>
      <b/>
      <sz val="16.0"/>
      <color theme="1"/>
      <name val="Comfortaa"/>
    </font>
    <font>
      <u/>
      <color rgb="FF1155CC"/>
      <name val="Comfortaa"/>
    </font>
    <font>
      <b/>
      <color rgb="FF3D85C6"/>
      <name val="Comfortaa"/>
    </font>
    <font>
      <b/>
      <color rgb="FFFFFFFF"/>
      <name val="Comfortaa"/>
    </font>
    <font>
      <color rgb="FFFFFFFF"/>
      <name val="Comfortaa"/>
    </font>
    <font>
      <b/>
      <color theme="1"/>
      <name val="Comfortaa"/>
    </font>
    <font>
      <color rgb="FFFFFFFF"/>
      <name val="Arial"/>
    </font>
    <font>
      <color theme="1"/>
      <name val="Comfortaa"/>
    </font>
    <font/>
    <font>
      <b/>
      <color rgb="FF666666"/>
      <name val="Comfortaa"/>
    </font>
    <font>
      <b/>
      <color rgb="FF434343"/>
      <name val="Comfortaa"/>
    </font>
    <font>
      <color rgb="FF434343"/>
      <name val="Comfortaa"/>
    </font>
    <font>
      <color theme="1"/>
      <name val="Open Sans"/>
    </font>
  </fonts>
  <fills count="1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4">
    <border/>
    <border>
      <right/>
    </border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4" numFmtId="0" xfId="0" applyAlignment="1" applyFont="1">
      <alignment shrinkToFit="0" vertical="top" wrapText="1"/>
    </xf>
    <xf borderId="0" fillId="2" fontId="5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3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165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5" fillId="0" fontId="10" numFmtId="0" xfId="0" applyBorder="1" applyFont="1"/>
    <xf borderId="6" fillId="0" fontId="10" numFmtId="0" xfId="0" applyBorder="1" applyFont="1"/>
    <xf borderId="7" fillId="0" fontId="9" numFmtId="0" xfId="0" applyAlignment="1" applyBorder="1" applyFont="1">
      <alignment horizontal="center" vertical="bottom"/>
    </xf>
    <xf borderId="8" fillId="0" fontId="10" numFmtId="0" xfId="0" applyBorder="1" applyFont="1"/>
    <xf borderId="9" fillId="0" fontId="10" numFmtId="0" xfId="0" applyBorder="1" applyFont="1"/>
    <xf borderId="3" fillId="0" fontId="9" numFmtId="0" xfId="0" applyAlignment="1" applyBorder="1" applyFont="1">
      <alignment horizontal="right" vertical="bottom"/>
    </xf>
    <xf borderId="4" fillId="4" fontId="5" numFmtId="0" xfId="0" applyAlignment="1" applyBorder="1" applyFill="1" applyFont="1">
      <alignment vertical="bottom"/>
    </xf>
    <xf borderId="5" fillId="5" fontId="5" numFmtId="0" xfId="0" applyAlignment="1" applyBorder="1" applyFill="1" applyFont="1">
      <alignment vertical="bottom"/>
    </xf>
    <xf borderId="5" fillId="6" fontId="5" numFmtId="0" xfId="0" applyAlignment="1" applyBorder="1" applyFill="1" applyFont="1">
      <alignment vertical="bottom"/>
    </xf>
    <xf borderId="5" fillId="7" fontId="5" numFmtId="0" xfId="0" applyAlignment="1" applyBorder="1" applyFill="1" applyFont="1">
      <alignment vertical="bottom"/>
    </xf>
    <xf borderId="5" fillId="8" fontId="5" numFmtId="0" xfId="0" applyAlignment="1" applyBorder="1" applyFill="1" applyFont="1">
      <alignment vertical="bottom"/>
    </xf>
    <xf borderId="5" fillId="2" fontId="5" numFmtId="0" xfId="0" applyAlignment="1" applyBorder="1" applyFont="1">
      <alignment vertical="bottom"/>
    </xf>
    <xf borderId="5" fillId="4" fontId="5" numFmtId="0" xfId="0" applyAlignment="1" applyBorder="1" applyFont="1">
      <alignment vertical="bottom"/>
    </xf>
    <xf borderId="5" fillId="9" fontId="11" numFmtId="0" xfId="0" applyAlignment="1" applyBorder="1" applyFill="1" applyFont="1">
      <alignment vertical="bottom"/>
    </xf>
    <xf borderId="5" fillId="10" fontId="11" numFmtId="0" xfId="0" applyAlignment="1" applyBorder="1" applyFill="1" applyFont="1">
      <alignment vertical="bottom"/>
    </xf>
    <xf borderId="6" fillId="11" fontId="11" numFmtId="0" xfId="0" applyAlignment="1" applyBorder="1" applyFill="1" applyFont="1">
      <alignment vertical="bottom"/>
    </xf>
    <xf borderId="10" fillId="0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11" fillId="0" fontId="12" numFmtId="0" xfId="0" applyAlignment="1" applyBorder="1" applyFont="1">
      <alignment vertical="bottom"/>
    </xf>
    <xf borderId="2" fillId="0" fontId="12" numFmtId="0" xfId="0" applyAlignment="1" applyBorder="1" applyFont="1">
      <alignment shrinkToFit="0" vertical="bottom" wrapText="0"/>
    </xf>
    <xf borderId="12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7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8" fillId="12" fontId="9" numFmtId="0" xfId="0" applyAlignment="1" applyBorder="1" applyFill="1" applyFont="1">
      <alignment vertical="bottom"/>
    </xf>
    <xf borderId="8" fillId="12" fontId="1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13" fillId="0" fontId="9" numFmtId="0" xfId="0" applyAlignment="1" applyBorder="1" applyFont="1">
      <alignment vertical="bottom"/>
    </xf>
    <xf borderId="12" fillId="0" fontId="13" numFmtId="0" xfId="0" applyAlignment="1" applyBorder="1" applyFont="1">
      <alignment vertical="bottom"/>
    </xf>
    <xf borderId="0" fillId="0" fontId="13" numFmtId="0" xfId="0" applyAlignment="1" applyFont="1">
      <alignment vertical="bottom"/>
    </xf>
    <xf borderId="13" fillId="0" fontId="13" numFmtId="0" xfId="0" applyAlignment="1" applyBorder="1" applyFont="1">
      <alignment vertical="bottom"/>
    </xf>
    <xf borderId="0" fillId="0" fontId="4" numFmtId="9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10" fillId="0" fontId="9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12" fontId="9" numFmtId="0" xfId="0" applyAlignment="1" applyBorder="1" applyFont="1">
      <alignment vertical="bottom"/>
    </xf>
    <xf borderId="3" fillId="12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0" fillId="0" fontId="13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" fillId="2" fontId="6" numFmtId="0" xfId="0" applyAlignment="1" applyBorder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9" numFmtId="165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5" fontId="6" numFmtId="0" xfId="0" applyAlignment="1" applyFont="1">
      <alignment shrinkToFit="0" vertical="bottom" wrapText="0"/>
    </xf>
    <xf borderId="0" fillId="5" fontId="6" numFmtId="0" xfId="0" applyAlignment="1" applyFont="1">
      <alignment vertical="bottom"/>
    </xf>
    <xf borderId="1" fillId="5" fontId="6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3" fontId="1" numFmtId="165" xfId="0" applyAlignment="1" applyFont="1" applyNumberFormat="1">
      <alignment readingOrder="0" vertical="bottom"/>
    </xf>
    <xf borderId="0" fillId="0" fontId="9" numFmtId="0" xfId="0" applyFont="1"/>
    <xf borderId="0" fillId="2" fontId="5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222161373919502"/>
          <c:y val="0.057655954631379965"/>
          <c:w val="0.923564084220328"/>
          <c:h val="0.852359808574326"/>
        </c:manualLayout>
      </c:layout>
      <c:lineChart>
        <c:ser>
          <c:idx val="0"/>
          <c:order val="0"/>
          <c:tx>
            <c:strRef>
              <c:f>Calc!$C$33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Calc!$C$34:$C$41</c:f>
              <c:numCache/>
            </c:numRef>
          </c:val>
          <c:smooth val="1"/>
        </c:ser>
        <c:ser>
          <c:idx val="1"/>
          <c:order val="1"/>
          <c:tx>
            <c:strRef>
              <c:f>Calc!$D$33</c:f>
            </c:strRef>
          </c:tx>
          <c:spPr>
            <a:ln cmpd="sng" w="38100">
              <a:solidFill>
                <a:srgbClr val="CFE2F3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Calc!$D$34:$D$41</c:f>
              <c:numCache/>
            </c:numRef>
          </c:val>
          <c:smooth val="1"/>
        </c:ser>
        <c:ser>
          <c:idx val="2"/>
          <c:order val="2"/>
          <c:tx>
            <c:strRef>
              <c:f>Calc!$E$33</c:f>
            </c:strRef>
          </c:tx>
          <c:spPr>
            <a:ln cmpd="sng" w="381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Calc!$E$34:$E$41</c:f>
              <c:numCache/>
            </c:numRef>
          </c:val>
          <c:smooth val="1"/>
        </c:ser>
        <c:ser>
          <c:idx val="3"/>
          <c:order val="3"/>
          <c:tx>
            <c:strRef>
              <c:f>Calc!$F$33</c:f>
            </c:strRef>
          </c:tx>
          <c:spPr>
            <a:ln cmpd="sng" w="38100">
              <a:solidFill>
                <a:srgbClr val="6FA8DC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Calc!$F$34:$F$41</c:f>
              <c:numCache/>
            </c:numRef>
          </c:val>
          <c:smooth val="1"/>
        </c:ser>
        <c:ser>
          <c:idx val="4"/>
          <c:order val="4"/>
          <c:tx>
            <c:strRef>
              <c:f>Calc!$G$33</c:f>
            </c:strRef>
          </c:tx>
          <c:spPr>
            <a:ln cmpd="sng" w="3810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Calc!$G$34:$G$41</c:f>
              <c:numCache/>
            </c:numRef>
          </c:val>
          <c:smooth val="1"/>
        </c:ser>
        <c:ser>
          <c:idx val="5"/>
          <c:order val="5"/>
          <c:tx>
            <c:strRef>
              <c:f>Calc!$H$33</c:f>
            </c:strRef>
          </c:tx>
          <c:spPr>
            <a:ln cmpd="sng" w="3810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Calc!$B$34:$B$41</c:f>
            </c:strRef>
          </c:cat>
          <c:val>
            <c:numRef>
              <c:f>Calc!$H$34:$H$41</c:f>
              <c:numCache/>
            </c:numRef>
          </c:val>
          <c:smooth val="1"/>
        </c:ser>
        <c:axId val="2034548642"/>
        <c:axId val="218545139"/>
      </c:lineChart>
      <c:catAx>
        <c:axId val="203454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1A3438"/>
                </a:solidFill>
                <a:latin typeface="+mn-lt"/>
              </a:defRPr>
            </a:pPr>
          </a:p>
        </c:txPr>
        <c:crossAx val="218545139"/>
      </c:catAx>
      <c:valAx>
        <c:axId val="21854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1A3438"/>
                </a:solidFill>
                <a:latin typeface="+mn-lt"/>
              </a:defRPr>
            </a:pPr>
          </a:p>
        </c:txPr>
        <c:crossAx val="2034548642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31484C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222161373919502"/>
          <c:y val="0.057655954631379965"/>
          <c:w val="0.923564084220328"/>
          <c:h val="0.852359808574326"/>
        </c:manualLayout>
      </c:layout>
      <c:lineChart>
        <c:ser>
          <c:idx val="0"/>
          <c:order val="0"/>
          <c:tx>
            <c:strRef>
              <c:f>Backup1!$C$33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Backup1!$C$34:$C$41</c:f>
              <c:numCache/>
            </c:numRef>
          </c:val>
          <c:smooth val="1"/>
        </c:ser>
        <c:ser>
          <c:idx val="1"/>
          <c:order val="1"/>
          <c:tx>
            <c:strRef>
              <c:f>Backup1!$D$33</c:f>
            </c:strRef>
          </c:tx>
          <c:spPr>
            <a:ln cmpd="sng" w="38100">
              <a:solidFill>
                <a:srgbClr val="CFE2F3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Backup1!$D$34:$D$41</c:f>
              <c:numCache/>
            </c:numRef>
          </c:val>
          <c:smooth val="1"/>
        </c:ser>
        <c:ser>
          <c:idx val="2"/>
          <c:order val="2"/>
          <c:tx>
            <c:strRef>
              <c:f>Backup1!$E$33</c:f>
            </c:strRef>
          </c:tx>
          <c:spPr>
            <a:ln cmpd="sng" w="381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Backup1!$E$34:$E$41</c:f>
              <c:numCache/>
            </c:numRef>
          </c:val>
          <c:smooth val="1"/>
        </c:ser>
        <c:ser>
          <c:idx val="3"/>
          <c:order val="3"/>
          <c:tx>
            <c:strRef>
              <c:f>Backup1!$F$33</c:f>
            </c:strRef>
          </c:tx>
          <c:spPr>
            <a:ln cmpd="sng" w="38100">
              <a:solidFill>
                <a:srgbClr val="6FA8DC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Backup1!$F$34:$F$41</c:f>
              <c:numCache/>
            </c:numRef>
          </c:val>
          <c:smooth val="1"/>
        </c:ser>
        <c:ser>
          <c:idx val="4"/>
          <c:order val="4"/>
          <c:tx>
            <c:strRef>
              <c:f>Backup1!$G$33</c:f>
            </c:strRef>
          </c:tx>
          <c:spPr>
            <a:ln cmpd="sng" w="38100">
              <a:solidFill>
                <a:srgbClr val="3D85C6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Backup1!$G$34:$G$41</c:f>
              <c:numCache/>
            </c:numRef>
          </c:val>
          <c:smooth val="1"/>
        </c:ser>
        <c:ser>
          <c:idx val="5"/>
          <c:order val="5"/>
          <c:tx>
            <c:strRef>
              <c:f>Backup1!$H$33</c:f>
            </c:strRef>
          </c:tx>
          <c:spPr>
            <a:ln cmpd="sng" w="38100">
              <a:solidFill>
                <a:srgbClr val="0B5394"/>
              </a:solidFill>
            </a:ln>
          </c:spPr>
          <c:marker>
            <c:symbol val="none"/>
          </c:marker>
          <c:cat>
            <c:strRef>
              <c:f>Backup1!$B$34:$B$41</c:f>
            </c:strRef>
          </c:cat>
          <c:val>
            <c:numRef>
              <c:f>Backup1!$H$34:$H$41</c:f>
              <c:numCache/>
            </c:numRef>
          </c:val>
          <c:smooth val="1"/>
        </c:ser>
        <c:axId val="235427235"/>
        <c:axId val="911316728"/>
      </c:lineChart>
      <c:catAx>
        <c:axId val="235427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1A3438"/>
                </a:solidFill>
                <a:latin typeface="+mn-lt"/>
              </a:defRPr>
            </a:pPr>
          </a:p>
        </c:txPr>
        <c:crossAx val="911316728"/>
      </c:catAx>
      <c:valAx>
        <c:axId val="91131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rPr b="0">
                    <a:solidFill>
                      <a:srgbClr val="1A3438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1A3438"/>
                </a:solidFill>
                <a:latin typeface="+mn-lt"/>
              </a:defRPr>
            </a:pPr>
          </a:p>
        </c:txPr>
        <c:crossAx val="235427235"/>
      </c:valAx>
    </c:plotArea>
    <c:legend>
      <c:legendPos val="t"/>
      <c:overlay val="0"/>
      <c:txPr>
        <a:bodyPr/>
        <a:lstStyle/>
        <a:p>
          <a:pPr lvl="0">
            <a:defRPr b="0" sz="1600">
              <a:solidFill>
                <a:srgbClr val="31484C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26</xdr:row>
      <xdr:rowOff>19050</xdr:rowOff>
    </xdr:from>
    <xdr:ext cx="8782050" cy="5029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342900</xdr:colOff>
      <xdr:row>26</xdr:row>
      <xdr:rowOff>19050</xdr:rowOff>
    </xdr:from>
    <xdr:ext cx="8782050" cy="5029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0000"/>
      </a:lt1>
      <a:dk2>
        <a:srgbClr val="1A3438"/>
      </a:dk2>
      <a:lt2>
        <a:srgbClr val="FF0000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43"/>
    <col customWidth="1" min="2" max="2" width="14.71"/>
    <col customWidth="1" min="3" max="4" width="5.0"/>
    <col customWidth="1" min="5" max="5" width="9.43"/>
    <col customWidth="1" min="6" max="6" width="5.0"/>
    <col customWidth="1" min="7" max="7" width="8.29"/>
    <col customWidth="1" min="8" max="8" width="4.0"/>
    <col customWidth="1" min="9" max="9" width="5.0"/>
    <col customWidth="1" min="10" max="10" width="4.29"/>
    <col customWidth="1" min="11" max="11" width="5.14"/>
    <col customWidth="1" min="12" max="12" width="6.14"/>
    <col customWidth="1" min="13" max="13" width="4.86"/>
    <col customWidth="1" min="14" max="14" width="5.14"/>
    <col customWidth="1" min="15" max="15" width="7.14"/>
    <col customWidth="1" min="16" max="16" width="5.14"/>
    <col customWidth="1" min="17" max="17" width="7.14"/>
    <col customWidth="1" min="18" max="18" width="5.29"/>
    <col customWidth="1" min="19" max="19" width="4.14"/>
    <col customWidth="1" min="20" max="20" width="3.29"/>
    <col customWidth="1" min="21" max="25" width="9.0"/>
    <col customWidth="1" min="26" max="26" width="11.14"/>
    <col customWidth="1" min="27" max="27" width="17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tr">
        <f>HYPERLINK("https://www.csselectronics.com/screen/page/can-fd-flexible-data-rate-intro","CAN FD Intro")</f>
        <v>CAN FD Intro</v>
      </c>
      <c r="B3" s="5"/>
      <c r="C3" s="4" t="str">
        <f>HYPERLINK("https://www.csselectronics.com/","CSS Electronics")</f>
        <v>CSS Electronics</v>
      </c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" t="s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8" t="s">
        <v>2</v>
      </c>
      <c r="C10" s="9"/>
      <c r="D10" s="9"/>
      <c r="E10" s="10" t="s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1" t="s">
        <v>4</v>
      </c>
      <c r="C11" s="1"/>
      <c r="D11" s="1"/>
      <c r="E11" s="12">
        <v>32.0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3" t="s">
        <v>5</v>
      </c>
      <c r="C12" s="3"/>
      <c r="D12" s="1"/>
      <c r="E12" s="14" t="s">
        <v>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5"/>
    </row>
    <row r="13">
      <c r="A13" s="1"/>
      <c r="B13" s="13" t="s">
        <v>7</v>
      </c>
      <c r="C13" s="3"/>
      <c r="D13" s="1"/>
      <c r="E13" s="16">
        <v>0.5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5"/>
    </row>
    <row r="14">
      <c r="A14" s="1"/>
      <c r="B14" s="13" t="s">
        <v>8</v>
      </c>
      <c r="C14" s="3"/>
      <c r="D14" s="1"/>
      <c r="E14" s="17">
        <v>12.0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8"/>
    </row>
    <row r="15">
      <c r="A15" s="1"/>
      <c r="B15" s="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20" t="s">
        <v>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21" t="s">
        <v>10</v>
      </c>
      <c r="D17" s="22"/>
      <c r="E17" s="22"/>
      <c r="F17" s="22"/>
      <c r="G17" s="22"/>
      <c r="H17" s="22"/>
      <c r="I17" s="23"/>
      <c r="J17" s="21" t="s">
        <v>11</v>
      </c>
      <c r="K17" s="22"/>
      <c r="L17" s="22"/>
      <c r="M17" s="22"/>
      <c r="N17" s="22"/>
      <c r="O17" s="23"/>
      <c r="P17" s="21" t="s">
        <v>12</v>
      </c>
      <c r="Q17" s="22"/>
      <c r="R17" s="22"/>
      <c r="S17" s="23"/>
      <c r="T17" s="1"/>
      <c r="U17" s="24" t="s">
        <v>13</v>
      </c>
      <c r="V17" s="25"/>
      <c r="W17" s="25"/>
      <c r="X17" s="25"/>
      <c r="Y17" s="26"/>
      <c r="Z17" s="1"/>
      <c r="AA17" s="1"/>
      <c r="AB17" s="1"/>
      <c r="AC17" s="1"/>
      <c r="AD17" s="1"/>
    </row>
    <row r="18">
      <c r="A18" s="1"/>
      <c r="B18" s="27" t="s">
        <v>14</v>
      </c>
      <c r="C18" s="28" t="s">
        <v>15</v>
      </c>
      <c r="D18" s="29" t="s">
        <v>16</v>
      </c>
      <c r="E18" s="30" t="s">
        <v>17</v>
      </c>
      <c r="F18" s="30" t="s">
        <v>18</v>
      </c>
      <c r="G18" s="30" t="s">
        <v>19</v>
      </c>
      <c r="H18" s="31" t="s">
        <v>20</v>
      </c>
      <c r="I18" s="31" t="s">
        <v>21</v>
      </c>
      <c r="J18" s="31" t="s">
        <v>22</v>
      </c>
      <c r="K18" s="32" t="s">
        <v>23</v>
      </c>
      <c r="L18" s="33" t="s">
        <v>24</v>
      </c>
      <c r="M18" s="31" t="s">
        <v>25</v>
      </c>
      <c r="N18" s="34" t="s">
        <v>26</v>
      </c>
      <c r="O18" s="34" t="s">
        <v>27</v>
      </c>
      <c r="P18" s="35" t="s">
        <v>28</v>
      </c>
      <c r="Q18" s="35" t="s">
        <v>29</v>
      </c>
      <c r="R18" s="36" t="s">
        <v>30</v>
      </c>
      <c r="S18" s="37" t="s">
        <v>31</v>
      </c>
      <c r="T18" s="1"/>
      <c r="U18" s="38" t="s">
        <v>10</v>
      </c>
      <c r="V18" s="39" t="s">
        <v>11</v>
      </c>
      <c r="W18" s="39" t="s">
        <v>12</v>
      </c>
      <c r="X18" s="39" t="s">
        <v>32</v>
      </c>
      <c r="Y18" s="40" t="s">
        <v>33</v>
      </c>
      <c r="Z18" s="39" t="s">
        <v>34</v>
      </c>
      <c r="AA18" s="41" t="s">
        <v>35</v>
      </c>
      <c r="AB18" s="1"/>
      <c r="AC18" s="1"/>
      <c r="AD18" s="1"/>
    </row>
    <row r="19">
      <c r="A19" s="1"/>
      <c r="B19" s="11" t="s">
        <v>36</v>
      </c>
      <c r="C19" s="42">
        <v>1.0</v>
      </c>
      <c r="D19" s="43">
        <v>11.0</v>
      </c>
      <c r="E19" s="43">
        <v>1.0</v>
      </c>
      <c r="F19" s="43">
        <v>1.0</v>
      </c>
      <c r="G19" s="43">
        <v>1.0</v>
      </c>
      <c r="H19" s="43"/>
      <c r="I19" s="43"/>
      <c r="J19" s="44"/>
      <c r="K19" s="45">
        <v>4.0</v>
      </c>
      <c r="L19" s="46">
        <f>if($E$11&gt;8,8*8,$E$11*8)</f>
        <v>64</v>
      </c>
      <c r="M19" s="47"/>
      <c r="N19" s="47">
        <v>15.0</v>
      </c>
      <c r="O19" s="48">
        <v>1.0</v>
      </c>
      <c r="P19" s="43">
        <v>1.0</v>
      </c>
      <c r="Q19" s="43">
        <v>1.0</v>
      </c>
      <c r="R19" s="43">
        <v>7.0</v>
      </c>
      <c r="S19" s="49">
        <v>3.0</v>
      </c>
      <c r="T19" s="1"/>
      <c r="U19" s="50">
        <f t="shared" ref="U19:U20" si="1">sum(C19:I19)</f>
        <v>15</v>
      </c>
      <c r="V19" s="51">
        <f t="shared" ref="V19:V20" si="2">sum(J19:O19)</f>
        <v>84</v>
      </c>
      <c r="W19" s="51">
        <f t="shared" ref="W19:W20" si="3">sum(P19:S19)</f>
        <v>12</v>
      </c>
      <c r="X19" s="51">
        <f t="shared" ref="X19:X20" si="4">L19</f>
        <v>64</v>
      </c>
      <c r="Y19" s="52">
        <f t="shared" ref="Y19:Y20" si="5">U19+V19+W19</f>
        <v>111</v>
      </c>
      <c r="Z19" s="53">
        <f t="shared" ref="Z19:Z20" si="6">X19/Y19</f>
        <v>0.5765765766</v>
      </c>
      <c r="AA19" s="54">
        <f>E13</f>
        <v>0.5</v>
      </c>
      <c r="AB19" s="1"/>
      <c r="AC19" s="1"/>
      <c r="AD19" s="1"/>
    </row>
    <row r="20">
      <c r="A20" s="1"/>
      <c r="B20" s="11" t="s">
        <v>37</v>
      </c>
      <c r="C20" s="55">
        <v>1.0</v>
      </c>
      <c r="D20" s="56">
        <v>11.0</v>
      </c>
      <c r="E20" s="56">
        <v>1.0</v>
      </c>
      <c r="F20" s="56">
        <v>1.0</v>
      </c>
      <c r="G20" s="56">
        <v>1.0</v>
      </c>
      <c r="H20" s="56">
        <v>1.0</v>
      </c>
      <c r="I20" s="56">
        <v>1.0</v>
      </c>
      <c r="J20" s="55">
        <v>1.0</v>
      </c>
      <c r="K20" s="56">
        <v>4.0</v>
      </c>
      <c r="L20" s="57">
        <f>$E$11*8</f>
        <v>256</v>
      </c>
      <c r="M20" s="58">
        <f>if(E12="YES",2,0)+ 4</f>
        <v>6</v>
      </c>
      <c r="N20" s="57">
        <f>if(E12="YES",4,0)+if(E13&gt;16,21,17)</f>
        <v>21</v>
      </c>
      <c r="O20" s="59">
        <v>1.0</v>
      </c>
      <c r="P20" s="56">
        <v>1.0</v>
      </c>
      <c r="Q20" s="56">
        <v>1.0</v>
      </c>
      <c r="R20" s="56">
        <v>7.0</v>
      </c>
      <c r="S20" s="59">
        <v>3.0</v>
      </c>
      <c r="T20" s="1"/>
      <c r="U20" s="60">
        <f t="shared" si="1"/>
        <v>17</v>
      </c>
      <c r="V20" s="61">
        <f t="shared" si="2"/>
        <v>289</v>
      </c>
      <c r="W20" s="61">
        <f t="shared" si="3"/>
        <v>12</v>
      </c>
      <c r="X20" s="61">
        <f t="shared" si="4"/>
        <v>256</v>
      </c>
      <c r="Y20" s="62">
        <f t="shared" si="5"/>
        <v>318</v>
      </c>
      <c r="Z20" s="53">
        <f t="shared" si="6"/>
        <v>0.8050314465</v>
      </c>
      <c r="AA20" s="54">
        <f>Y20/((U20+W20)/E13+V20/E14)</f>
        <v>3.874111675</v>
      </c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8" t="s">
        <v>2</v>
      </c>
      <c r="C25" s="63" t="s">
        <v>38</v>
      </c>
      <c r="D25" s="10"/>
      <c r="E25" s="9"/>
      <c r="F25" s="64"/>
      <c r="G25" s="9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1" t="s">
        <v>39</v>
      </c>
      <c r="C26" s="65">
        <v>1.0</v>
      </c>
      <c r="D26" s="19"/>
      <c r="E26" s="19"/>
      <c r="F26" s="19"/>
      <c r="G26" s="19"/>
      <c r="H26" s="19"/>
      <c r="I26" s="1"/>
      <c r="J26" s="1"/>
      <c r="K26" s="1"/>
      <c r="L26" s="1"/>
      <c r="M26" s="1"/>
      <c r="N26" s="6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1" t="s">
        <v>40</v>
      </c>
      <c r="C27" s="67">
        <v>17.0</v>
      </c>
      <c r="D27" s="19"/>
      <c r="E27" s="19"/>
      <c r="F27" s="19"/>
      <c r="G27" s="19"/>
      <c r="H27" s="19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1" t="s">
        <v>41</v>
      </c>
      <c r="C28" s="67">
        <v>12.0</v>
      </c>
      <c r="D28" s="19"/>
      <c r="E28" s="19"/>
      <c r="F28" s="19"/>
      <c r="G28" s="19"/>
      <c r="H28" s="19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1" t="s">
        <v>42</v>
      </c>
      <c r="C29" s="67">
        <v>10.0</v>
      </c>
      <c r="D29" s="19"/>
      <c r="E29" s="19"/>
      <c r="F29" s="19"/>
      <c r="G29" s="19"/>
      <c r="H29" s="19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1" t="s">
        <v>43</v>
      </c>
      <c r="C30" s="68">
        <f t="shared" ref="C30:D30" si="7">8*8</f>
        <v>64</v>
      </c>
      <c r="D30" s="68">
        <f t="shared" si="7"/>
        <v>64</v>
      </c>
      <c r="E30" s="68">
        <f>16*8</f>
        <v>128</v>
      </c>
      <c r="F30" s="68">
        <f>24*8</f>
        <v>192</v>
      </c>
      <c r="G30" s="68">
        <f>48*8</f>
        <v>384</v>
      </c>
      <c r="H30" s="68">
        <f>64*8</f>
        <v>512</v>
      </c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9"/>
      <c r="C32" s="1"/>
      <c r="D32" s="19"/>
      <c r="E32" s="19"/>
      <c r="F32" s="19"/>
      <c r="G32" s="19"/>
      <c r="H32" s="19"/>
      <c r="I32" s="1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3"/>
      <c r="B33" s="69" t="s">
        <v>44</v>
      </c>
      <c r="C33" s="70" t="s">
        <v>36</v>
      </c>
      <c r="D33" s="70" t="s">
        <v>45</v>
      </c>
      <c r="E33" s="70" t="s">
        <v>46</v>
      </c>
      <c r="F33" s="70" t="s">
        <v>47</v>
      </c>
      <c r="G33" s="70" t="s">
        <v>48</v>
      </c>
      <c r="H33" s="71" t="s">
        <v>49</v>
      </c>
      <c r="I33" s="72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65">
        <v>1.0</v>
      </c>
      <c r="C34" s="65">
        <f t="shared" ref="C34:C41" si="9">$C$26</f>
        <v>1</v>
      </c>
      <c r="D34" s="65">
        <f t="shared" ref="D34:H34" si="8">($C$27+$C$28+if((D$30/8)&gt;16,21,17)+$C$29+D$30)/(($C$27+$C$28)/$C$26+(if((D$30/8)&gt;16,21,17)+$C$29+D$30)/$B34)</f>
        <v>1</v>
      </c>
      <c r="E34" s="65">
        <f t="shared" si="8"/>
        <v>1</v>
      </c>
      <c r="F34" s="65">
        <f t="shared" si="8"/>
        <v>1</v>
      </c>
      <c r="G34" s="65">
        <f t="shared" si="8"/>
        <v>1</v>
      </c>
      <c r="H34" s="65">
        <f t="shared" si="8"/>
        <v>1</v>
      </c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65">
        <v>2.0</v>
      </c>
      <c r="C35" s="65">
        <f t="shared" si="9"/>
        <v>1</v>
      </c>
      <c r="D35" s="65">
        <f t="shared" ref="D35:H35" si="10">($C$27+$C$28+if((D$30/8)&gt;16,21,17)+$C$29+D$30)/(($C$27+$C$28)/$C$26+(if((D$30/8)&gt;16,21,17)+$C$29+D$30)/$B35)</f>
        <v>1.610738255</v>
      </c>
      <c r="E35" s="65">
        <f t="shared" si="10"/>
        <v>1.727699531</v>
      </c>
      <c r="F35" s="65">
        <f t="shared" si="10"/>
        <v>1.793594306</v>
      </c>
      <c r="G35" s="65">
        <f t="shared" si="10"/>
        <v>1.877378436</v>
      </c>
      <c r="H35" s="65">
        <f t="shared" si="10"/>
        <v>1.903494176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65">
        <v>3.0</v>
      </c>
      <c r="C36" s="65">
        <f t="shared" si="9"/>
        <v>1</v>
      </c>
      <c r="D36" s="65">
        <f t="shared" ref="D36:H36" si="11">($C$27+$C$28+if((D$30/8)&gt;16,21,17)+$C$29+D$30)/(($C$27+$C$28)/$C$26+(if((D$30/8)&gt;16,21,17)+$C$29+D$30)/$B36)</f>
        <v>2.02247191</v>
      </c>
      <c r="E36" s="65">
        <f t="shared" si="11"/>
        <v>2.280991736</v>
      </c>
      <c r="F36" s="65">
        <f t="shared" si="11"/>
        <v>2.438709677</v>
      </c>
      <c r="G36" s="65">
        <f t="shared" si="11"/>
        <v>2.653386454</v>
      </c>
      <c r="H36" s="65">
        <f t="shared" si="11"/>
        <v>2.723809524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65">
        <v>4.0</v>
      </c>
      <c r="C37" s="65">
        <f t="shared" si="9"/>
        <v>1</v>
      </c>
      <c r="D37" s="65">
        <f t="shared" ref="D37:H37" si="12">($C$27+$C$28+if((D$30/8)&gt;16,21,17)+$C$29+D$30)/(($C$27+$C$28)/$C$26+(if((D$30/8)&gt;16,21,17)+$C$29+D$30)/$B37)</f>
        <v>2.31884058</v>
      </c>
      <c r="E37" s="65">
        <f t="shared" si="12"/>
        <v>2.715867159</v>
      </c>
      <c r="F37" s="65">
        <f t="shared" si="12"/>
        <v>2.973451327</v>
      </c>
      <c r="G37" s="65">
        <f t="shared" si="12"/>
        <v>3.344632768</v>
      </c>
      <c r="H37" s="65">
        <f t="shared" si="12"/>
        <v>3.471927162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65">
        <v>5.0</v>
      </c>
      <c r="C38" s="65">
        <f t="shared" si="9"/>
        <v>1</v>
      </c>
      <c r="D38" s="65">
        <f t="shared" ref="D38:H38" si="13">($C$27+$C$28+if((D$30/8)&gt;16,21,17)+$C$29+D$30)/(($C$27+$C$28)/$C$26+(if((D$30/8)&gt;16,21,17)+$C$29+D$30)/$B38)</f>
        <v>2.542372881</v>
      </c>
      <c r="E38" s="65">
        <f t="shared" si="13"/>
        <v>3.066666667</v>
      </c>
      <c r="F38" s="65">
        <f t="shared" si="13"/>
        <v>3.423913043</v>
      </c>
      <c r="G38" s="65">
        <f t="shared" si="13"/>
        <v>3.964285714</v>
      </c>
      <c r="H38" s="65">
        <f t="shared" si="13"/>
        <v>4.156976744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65">
        <v>6.0</v>
      </c>
      <c r="C39" s="65">
        <f t="shared" si="9"/>
        <v>1</v>
      </c>
      <c r="D39" s="65">
        <f t="shared" ref="D39:H39" si="14">($C$27+$C$28+if((D$30/8)&gt;16,21,17)+$C$29+D$30)/(($C$27+$C$28)/$C$26+(if((D$30/8)&gt;16,21,17)+$C$29+D$30)/$B39)</f>
        <v>2.716981132</v>
      </c>
      <c r="E39" s="65">
        <f t="shared" si="14"/>
        <v>3.3556231</v>
      </c>
      <c r="F39" s="65">
        <f t="shared" si="14"/>
        <v>3.808564232</v>
      </c>
      <c r="G39" s="65">
        <f t="shared" si="14"/>
        <v>4.522920204</v>
      </c>
      <c r="H39" s="65">
        <f t="shared" si="14"/>
        <v>4.786610879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65">
        <v>7.0</v>
      </c>
      <c r="C40" s="65">
        <f t="shared" si="9"/>
        <v>1</v>
      </c>
      <c r="D40" s="65">
        <f t="shared" ref="D40:H40" si="15">($C$27+$C$28+if((D$30/8)&gt;16,21,17)+$C$29+D$30)/(($C$27+$C$28)/$C$26+(if((D$30/8)&gt;16,21,17)+$C$29+D$30)/$B40)</f>
        <v>2.857142857</v>
      </c>
      <c r="E40" s="65">
        <f t="shared" si="15"/>
        <v>3.597765363</v>
      </c>
      <c r="F40" s="65">
        <f t="shared" si="15"/>
        <v>4.14084507</v>
      </c>
      <c r="G40" s="65">
        <f t="shared" si="15"/>
        <v>5.029126214</v>
      </c>
      <c r="H40" s="65">
        <f t="shared" si="15"/>
        <v>5.367292225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65">
        <v>8.0</v>
      </c>
      <c r="C41" s="65">
        <f t="shared" si="9"/>
        <v>1</v>
      </c>
      <c r="D41" s="65">
        <f t="shared" ref="D41:H41" si="16">($C$27+$C$28+if((D$30/8)&gt;16,21,17)+$C$29+D$30)/(($C$27+$C$28)/$C$26+(if((D$30/8)&gt;16,21,17)+$C$29+D$30)/$B41)</f>
        <v>2.972136223</v>
      </c>
      <c r="E41" s="65">
        <f t="shared" si="16"/>
        <v>3.803617571</v>
      </c>
      <c r="F41" s="65">
        <f t="shared" si="16"/>
        <v>4.430769231</v>
      </c>
      <c r="G41" s="65">
        <f t="shared" si="16"/>
        <v>5.489953632</v>
      </c>
      <c r="H41" s="65">
        <f t="shared" si="16"/>
        <v>5.904516129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9"/>
      <c r="C42" s="19"/>
      <c r="D42" s="19"/>
      <c r="E42" s="19"/>
      <c r="F42" s="19"/>
      <c r="G42" s="19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</sheetData>
  <mergeCells count="6">
    <mergeCell ref="B5:E8"/>
    <mergeCell ref="C16:S16"/>
    <mergeCell ref="C17:I17"/>
    <mergeCell ref="J17:O17"/>
    <mergeCell ref="P17:S17"/>
    <mergeCell ref="U17:Y17"/>
  </mergeCells>
  <dataValidations>
    <dataValidation type="list" allowBlank="1" showErrorMessage="1" sqref="E11">
      <formula1>DataBytes</formula1>
    </dataValidation>
    <dataValidation type="list" allowBlank="1" sqref="E12">
      <formula1>"YES,NO"</formula1>
    </dataValidation>
    <dataValidation type="decimal" allowBlank="1" showDropDown="1" showErrorMessage="1" sqref="E13">
      <formula1>0.0</formula1>
      <formula2>15.0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43"/>
    <col customWidth="1" min="2" max="2" width="14.71"/>
    <col customWidth="1" min="3" max="4" width="5.0"/>
    <col customWidth="1" min="5" max="5" width="9.43"/>
    <col customWidth="1" min="6" max="6" width="5.0"/>
    <col customWidth="1" min="7" max="7" width="8.29"/>
    <col customWidth="1" min="8" max="8" width="4.0"/>
    <col customWidth="1" min="9" max="9" width="5.0"/>
    <col customWidth="1" min="10" max="10" width="4.29"/>
    <col customWidth="1" min="11" max="11" width="5.14"/>
    <col customWidth="1" min="12" max="12" width="6.14"/>
    <col customWidth="1" min="13" max="13" width="4.86"/>
    <col customWidth="1" min="14" max="14" width="5.14"/>
    <col customWidth="1" min="15" max="15" width="7.14"/>
    <col customWidth="1" min="16" max="16" width="5.14"/>
    <col customWidth="1" min="17" max="17" width="7.14"/>
    <col customWidth="1" min="18" max="18" width="5.29"/>
    <col customWidth="1" min="19" max="19" width="4.14"/>
    <col customWidth="1" min="20" max="20" width="3.29"/>
    <col customWidth="1" min="21" max="25" width="9.0"/>
    <col customWidth="1" min="26" max="26" width="11.14"/>
    <col customWidth="1" min="27" max="27" width="17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tr">
        <f>HYPERLINK("https://www.csselectronics.com/screen/page/can-fd-flexible-data-rate-intro","CAN FD Intro")</f>
        <v>CAN FD Intro</v>
      </c>
      <c r="B3" s="5"/>
      <c r="C3" s="4" t="str">
        <f>HYPERLINK("https://www.csselectronics.com/","CSS Electronics")</f>
        <v>CSS Electronics</v>
      </c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7" t="s">
        <v>50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8" t="s">
        <v>2</v>
      </c>
      <c r="C10" s="9"/>
      <c r="D10" s="9"/>
      <c r="E10" s="10" t="s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1" t="s">
        <v>4</v>
      </c>
      <c r="C11" s="1"/>
      <c r="D11" s="1"/>
      <c r="E11" s="73">
        <v>64.0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3" t="s">
        <v>5</v>
      </c>
      <c r="C12" s="3"/>
      <c r="D12" s="1"/>
      <c r="E12" s="19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3" t="s">
        <v>7</v>
      </c>
      <c r="C13" s="3"/>
      <c r="D13" s="1"/>
      <c r="E13" s="74">
        <v>2.0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13" t="s">
        <v>8</v>
      </c>
      <c r="C14" s="3"/>
      <c r="D14" s="1"/>
      <c r="E14" s="74">
        <v>0.5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20" t="s">
        <v>9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21" t="s">
        <v>10</v>
      </c>
      <c r="D17" s="22"/>
      <c r="E17" s="22"/>
      <c r="F17" s="22"/>
      <c r="G17" s="22"/>
      <c r="H17" s="22"/>
      <c r="I17" s="23"/>
      <c r="J17" s="21" t="s">
        <v>11</v>
      </c>
      <c r="K17" s="22"/>
      <c r="L17" s="22"/>
      <c r="M17" s="22"/>
      <c r="N17" s="22"/>
      <c r="O17" s="23"/>
      <c r="P17" s="21" t="s">
        <v>12</v>
      </c>
      <c r="Q17" s="22"/>
      <c r="R17" s="22"/>
      <c r="S17" s="23"/>
      <c r="T17" s="1"/>
      <c r="U17" s="24" t="s">
        <v>13</v>
      </c>
      <c r="V17" s="25"/>
      <c r="W17" s="25"/>
      <c r="X17" s="25"/>
      <c r="Y17" s="26"/>
      <c r="Z17" s="1"/>
      <c r="AA17" s="1"/>
      <c r="AB17" s="1"/>
      <c r="AC17" s="1"/>
      <c r="AD17" s="1"/>
    </row>
    <row r="18">
      <c r="A18" s="1"/>
      <c r="B18" s="27" t="s">
        <v>14</v>
      </c>
      <c r="C18" s="28" t="s">
        <v>15</v>
      </c>
      <c r="D18" s="29" t="s">
        <v>16</v>
      </c>
      <c r="E18" s="30" t="s">
        <v>17</v>
      </c>
      <c r="F18" s="30" t="s">
        <v>18</v>
      </c>
      <c r="G18" s="30" t="s">
        <v>19</v>
      </c>
      <c r="H18" s="31" t="s">
        <v>20</v>
      </c>
      <c r="I18" s="31" t="s">
        <v>21</v>
      </c>
      <c r="J18" s="31" t="s">
        <v>22</v>
      </c>
      <c r="K18" s="32" t="s">
        <v>23</v>
      </c>
      <c r="L18" s="33" t="s">
        <v>24</v>
      </c>
      <c r="M18" s="31" t="s">
        <v>25</v>
      </c>
      <c r="N18" s="34" t="s">
        <v>26</v>
      </c>
      <c r="O18" s="34" t="s">
        <v>27</v>
      </c>
      <c r="P18" s="35" t="s">
        <v>28</v>
      </c>
      <c r="Q18" s="35" t="s">
        <v>29</v>
      </c>
      <c r="R18" s="36" t="s">
        <v>30</v>
      </c>
      <c r="S18" s="37" t="s">
        <v>31</v>
      </c>
      <c r="T18" s="1"/>
      <c r="U18" s="38" t="s">
        <v>10</v>
      </c>
      <c r="V18" s="39" t="s">
        <v>11</v>
      </c>
      <c r="W18" s="39" t="s">
        <v>12</v>
      </c>
      <c r="X18" s="39" t="s">
        <v>32</v>
      </c>
      <c r="Y18" s="40" t="s">
        <v>33</v>
      </c>
      <c r="Z18" s="39" t="s">
        <v>34</v>
      </c>
      <c r="AA18" s="41" t="s">
        <v>35</v>
      </c>
      <c r="AB18" s="1"/>
      <c r="AC18" s="1"/>
      <c r="AD18" s="1"/>
    </row>
    <row r="19">
      <c r="A19" s="1"/>
      <c r="B19" s="11" t="s">
        <v>36</v>
      </c>
      <c r="C19" s="42">
        <v>1.0</v>
      </c>
      <c r="D19" s="43">
        <v>11.0</v>
      </c>
      <c r="E19" s="43">
        <v>1.0</v>
      </c>
      <c r="F19" s="43">
        <v>1.0</v>
      </c>
      <c r="G19" s="43">
        <v>1.0</v>
      </c>
      <c r="H19" s="43"/>
      <c r="I19" s="43"/>
      <c r="J19" s="44"/>
      <c r="K19" s="45">
        <v>4.0</v>
      </c>
      <c r="L19" s="46">
        <f>if($E$11&gt;8,8*8,$E$11*8)</f>
        <v>64</v>
      </c>
      <c r="M19" s="47"/>
      <c r="N19" s="47">
        <v>15.0</v>
      </c>
      <c r="O19" s="48">
        <v>1.0</v>
      </c>
      <c r="P19" s="43">
        <v>1.0</v>
      </c>
      <c r="Q19" s="43">
        <v>1.0</v>
      </c>
      <c r="R19" s="43">
        <v>7.0</v>
      </c>
      <c r="S19" s="49">
        <v>3.0</v>
      </c>
      <c r="T19" s="1"/>
      <c r="U19" s="50">
        <f t="shared" ref="U19:U20" si="1">sum(C19:I19)</f>
        <v>15</v>
      </c>
      <c r="V19" s="51">
        <f t="shared" ref="V19:V20" si="2">sum(J19:O19)</f>
        <v>84</v>
      </c>
      <c r="W19" s="51">
        <f t="shared" ref="W19:W20" si="3">sum(P19:S19)</f>
        <v>12</v>
      </c>
      <c r="X19" s="51">
        <f t="shared" ref="X19:X20" si="4">L19</f>
        <v>64</v>
      </c>
      <c r="Y19" s="52">
        <f t="shared" ref="Y19:Y20" si="5">U19+V19+W19</f>
        <v>111</v>
      </c>
      <c r="Z19" s="53">
        <f t="shared" ref="Z19:Z20" si="6">X19/Y19</f>
        <v>0.5765765766</v>
      </c>
      <c r="AA19" s="54">
        <f>E13</f>
        <v>2</v>
      </c>
      <c r="AB19" s="1"/>
      <c r="AC19" s="1"/>
      <c r="AD19" s="1"/>
    </row>
    <row r="20">
      <c r="A20" s="1"/>
      <c r="B20" s="11" t="s">
        <v>37</v>
      </c>
      <c r="C20" s="55">
        <v>1.0</v>
      </c>
      <c r="D20" s="56">
        <v>11.0</v>
      </c>
      <c r="E20" s="56">
        <v>1.0</v>
      </c>
      <c r="F20" s="56">
        <v>1.0</v>
      </c>
      <c r="G20" s="56">
        <v>1.0</v>
      </c>
      <c r="H20" s="56">
        <v>1.0</v>
      </c>
      <c r="I20" s="56">
        <v>1.0</v>
      </c>
      <c r="J20" s="55">
        <v>1.0</v>
      </c>
      <c r="K20" s="56">
        <v>4.0</v>
      </c>
      <c r="L20" s="57">
        <f>$E$11*8</f>
        <v>512</v>
      </c>
      <c r="M20" s="58">
        <f>if(E12="YES",2,0)+ 4</f>
        <v>4</v>
      </c>
      <c r="N20" s="57">
        <f>if(E12="YES",4,0)+if(E13&gt;16,21,17)</f>
        <v>17</v>
      </c>
      <c r="O20" s="59">
        <v>1.0</v>
      </c>
      <c r="P20" s="56">
        <v>1.0</v>
      </c>
      <c r="Q20" s="56">
        <v>1.0</v>
      </c>
      <c r="R20" s="56">
        <v>7.0</v>
      </c>
      <c r="S20" s="59">
        <v>3.0</v>
      </c>
      <c r="T20" s="1"/>
      <c r="U20" s="60">
        <f t="shared" si="1"/>
        <v>17</v>
      </c>
      <c r="V20" s="61">
        <f t="shared" si="2"/>
        <v>539</v>
      </c>
      <c r="W20" s="61">
        <f t="shared" si="3"/>
        <v>12</v>
      </c>
      <c r="X20" s="61">
        <f t="shared" si="4"/>
        <v>512</v>
      </c>
      <c r="Y20" s="62">
        <f t="shared" si="5"/>
        <v>568</v>
      </c>
      <c r="Z20" s="53">
        <f t="shared" si="6"/>
        <v>0.9014084507</v>
      </c>
      <c r="AA20" s="54">
        <f>Y20/((U20+W20)/E13+V20/E14)</f>
        <v>0.5199084668</v>
      </c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8" t="s">
        <v>2</v>
      </c>
      <c r="C25" s="63" t="s">
        <v>38</v>
      </c>
      <c r="D25" s="10"/>
      <c r="E25" s="9"/>
      <c r="F25" s="64"/>
      <c r="G25" s="9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1" t="s">
        <v>39</v>
      </c>
      <c r="C26" s="65">
        <v>1.0</v>
      </c>
      <c r="D26" s="19"/>
      <c r="E26" s="19"/>
      <c r="F26" s="19"/>
      <c r="G26" s="19"/>
      <c r="H26" s="19"/>
      <c r="I26" s="1"/>
      <c r="J26" s="1"/>
      <c r="K26" s="1"/>
      <c r="L26" s="1"/>
      <c r="M26" s="1"/>
      <c r="N26" s="6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1" t="s">
        <v>40</v>
      </c>
      <c r="C27" s="67">
        <v>17.0</v>
      </c>
      <c r="D27" s="19"/>
      <c r="E27" s="19"/>
      <c r="F27" s="19"/>
      <c r="G27" s="19"/>
      <c r="H27" s="19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1" t="s">
        <v>41</v>
      </c>
      <c r="C28" s="67">
        <v>12.0</v>
      </c>
      <c r="D28" s="19"/>
      <c r="E28" s="19"/>
      <c r="F28" s="19"/>
      <c r="G28" s="19"/>
      <c r="H28" s="19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1" t="s">
        <v>42</v>
      </c>
      <c r="C29" s="67">
        <v>10.0</v>
      </c>
      <c r="D29" s="19"/>
      <c r="E29" s="19"/>
      <c r="F29" s="19"/>
      <c r="G29" s="19"/>
      <c r="H29" s="19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1" t="s">
        <v>43</v>
      </c>
      <c r="C30" s="68">
        <f t="shared" ref="C30:D30" si="7">8*8</f>
        <v>64</v>
      </c>
      <c r="D30" s="68">
        <f t="shared" si="7"/>
        <v>64</v>
      </c>
      <c r="E30" s="68">
        <f>16*8</f>
        <v>128</v>
      </c>
      <c r="F30" s="68">
        <f>24*8</f>
        <v>192</v>
      </c>
      <c r="G30" s="68">
        <f>48*8</f>
        <v>384</v>
      </c>
      <c r="H30" s="68">
        <f>64*8</f>
        <v>512</v>
      </c>
      <c r="I30" s="1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9"/>
      <c r="C32" s="1"/>
      <c r="D32" s="19"/>
      <c r="E32" s="19"/>
      <c r="F32" s="19"/>
      <c r="G32" s="19"/>
      <c r="H32" s="19"/>
      <c r="I32" s="1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3"/>
      <c r="B33" s="69" t="s">
        <v>44</v>
      </c>
      <c r="C33" s="70" t="s">
        <v>36</v>
      </c>
      <c r="D33" s="70" t="s">
        <v>45</v>
      </c>
      <c r="E33" s="70" t="s">
        <v>46</v>
      </c>
      <c r="F33" s="70" t="s">
        <v>47</v>
      </c>
      <c r="G33" s="70" t="s">
        <v>48</v>
      </c>
      <c r="H33" s="71" t="s">
        <v>49</v>
      </c>
      <c r="I33" s="72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65">
        <v>1.0</v>
      </c>
      <c r="C34" s="65">
        <f t="shared" ref="C34:C41" si="9">$C$26</f>
        <v>1</v>
      </c>
      <c r="D34" s="65">
        <f t="shared" ref="D34:H34" si="8">($C$27+$C$28+if((D$30/8)&gt;16,21,17)+$C$29+D$30)/(($C$27+$C$28)/$C$26+(if((D$30/8)&gt;16,21,17)+$C$29+D$30)/$B34)</f>
        <v>1</v>
      </c>
      <c r="E34" s="65">
        <f t="shared" si="8"/>
        <v>1</v>
      </c>
      <c r="F34" s="65">
        <f t="shared" si="8"/>
        <v>1</v>
      </c>
      <c r="G34" s="65">
        <f t="shared" si="8"/>
        <v>1</v>
      </c>
      <c r="H34" s="65">
        <f t="shared" si="8"/>
        <v>1</v>
      </c>
      <c r="I34" s="1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65">
        <v>2.0</v>
      </c>
      <c r="C35" s="65">
        <f t="shared" si="9"/>
        <v>1</v>
      </c>
      <c r="D35" s="65">
        <f t="shared" ref="D35:H35" si="10">($C$27+$C$28+if((D$30/8)&gt;16,21,17)+$C$29+D$30)/(($C$27+$C$28)/$C$26+(if((D$30/8)&gt;16,21,17)+$C$29+D$30)/$B35)</f>
        <v>1.610738255</v>
      </c>
      <c r="E35" s="65">
        <f t="shared" si="10"/>
        <v>1.727699531</v>
      </c>
      <c r="F35" s="65">
        <f t="shared" si="10"/>
        <v>1.793594306</v>
      </c>
      <c r="G35" s="65">
        <f t="shared" si="10"/>
        <v>1.877378436</v>
      </c>
      <c r="H35" s="65">
        <f t="shared" si="10"/>
        <v>1.903494176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65">
        <v>3.0</v>
      </c>
      <c r="C36" s="65">
        <f t="shared" si="9"/>
        <v>1</v>
      </c>
      <c r="D36" s="65">
        <f t="shared" ref="D36:H36" si="11">($C$27+$C$28+if((D$30/8)&gt;16,21,17)+$C$29+D$30)/(($C$27+$C$28)/$C$26+(if((D$30/8)&gt;16,21,17)+$C$29+D$30)/$B36)</f>
        <v>2.02247191</v>
      </c>
      <c r="E36" s="65">
        <f t="shared" si="11"/>
        <v>2.280991736</v>
      </c>
      <c r="F36" s="65">
        <f t="shared" si="11"/>
        <v>2.438709677</v>
      </c>
      <c r="G36" s="65">
        <f t="shared" si="11"/>
        <v>2.653386454</v>
      </c>
      <c r="H36" s="65">
        <f t="shared" si="11"/>
        <v>2.723809524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65">
        <v>4.0</v>
      </c>
      <c r="C37" s="65">
        <f t="shared" si="9"/>
        <v>1</v>
      </c>
      <c r="D37" s="65">
        <f t="shared" ref="D37:H37" si="12">($C$27+$C$28+if((D$30/8)&gt;16,21,17)+$C$29+D$30)/(($C$27+$C$28)/$C$26+(if((D$30/8)&gt;16,21,17)+$C$29+D$30)/$B37)</f>
        <v>2.31884058</v>
      </c>
      <c r="E37" s="65">
        <f t="shared" si="12"/>
        <v>2.715867159</v>
      </c>
      <c r="F37" s="65">
        <f t="shared" si="12"/>
        <v>2.973451327</v>
      </c>
      <c r="G37" s="65">
        <f t="shared" si="12"/>
        <v>3.344632768</v>
      </c>
      <c r="H37" s="65">
        <f t="shared" si="12"/>
        <v>3.471927162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65">
        <v>5.0</v>
      </c>
      <c r="C38" s="65">
        <f t="shared" si="9"/>
        <v>1</v>
      </c>
      <c r="D38" s="65">
        <f t="shared" ref="D38:H38" si="13">($C$27+$C$28+if((D$30/8)&gt;16,21,17)+$C$29+D$30)/(($C$27+$C$28)/$C$26+(if((D$30/8)&gt;16,21,17)+$C$29+D$30)/$B38)</f>
        <v>2.542372881</v>
      </c>
      <c r="E38" s="65">
        <f t="shared" si="13"/>
        <v>3.066666667</v>
      </c>
      <c r="F38" s="65">
        <f t="shared" si="13"/>
        <v>3.423913043</v>
      </c>
      <c r="G38" s="65">
        <f t="shared" si="13"/>
        <v>3.964285714</v>
      </c>
      <c r="H38" s="65">
        <f t="shared" si="13"/>
        <v>4.156976744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65">
        <v>6.0</v>
      </c>
      <c r="C39" s="65">
        <f t="shared" si="9"/>
        <v>1</v>
      </c>
      <c r="D39" s="65">
        <f t="shared" ref="D39:H39" si="14">($C$27+$C$28+if((D$30/8)&gt;16,21,17)+$C$29+D$30)/(($C$27+$C$28)/$C$26+(if((D$30/8)&gt;16,21,17)+$C$29+D$30)/$B39)</f>
        <v>2.716981132</v>
      </c>
      <c r="E39" s="65">
        <f t="shared" si="14"/>
        <v>3.3556231</v>
      </c>
      <c r="F39" s="65">
        <f t="shared" si="14"/>
        <v>3.808564232</v>
      </c>
      <c r="G39" s="65">
        <f t="shared" si="14"/>
        <v>4.522920204</v>
      </c>
      <c r="H39" s="65">
        <f t="shared" si="14"/>
        <v>4.786610879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65">
        <v>7.0</v>
      </c>
      <c r="C40" s="65">
        <f t="shared" si="9"/>
        <v>1</v>
      </c>
      <c r="D40" s="65">
        <f t="shared" ref="D40:H40" si="15">($C$27+$C$28+if((D$30/8)&gt;16,21,17)+$C$29+D$30)/(($C$27+$C$28)/$C$26+(if((D$30/8)&gt;16,21,17)+$C$29+D$30)/$B40)</f>
        <v>2.857142857</v>
      </c>
      <c r="E40" s="65">
        <f t="shared" si="15"/>
        <v>3.597765363</v>
      </c>
      <c r="F40" s="65">
        <f t="shared" si="15"/>
        <v>4.14084507</v>
      </c>
      <c r="G40" s="65">
        <f t="shared" si="15"/>
        <v>5.029126214</v>
      </c>
      <c r="H40" s="65">
        <f t="shared" si="15"/>
        <v>5.367292225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65">
        <v>8.0</v>
      </c>
      <c r="C41" s="65">
        <f t="shared" si="9"/>
        <v>1</v>
      </c>
      <c r="D41" s="65">
        <f t="shared" ref="D41:H41" si="16">($C$27+$C$28+if((D$30/8)&gt;16,21,17)+$C$29+D$30)/(($C$27+$C$28)/$C$26+(if((D$30/8)&gt;16,21,17)+$C$29+D$30)/$B41)</f>
        <v>2.972136223</v>
      </c>
      <c r="E41" s="65">
        <f t="shared" si="16"/>
        <v>3.803617571</v>
      </c>
      <c r="F41" s="65">
        <f t="shared" si="16"/>
        <v>4.430769231</v>
      </c>
      <c r="G41" s="65">
        <f t="shared" si="16"/>
        <v>5.489953632</v>
      </c>
      <c r="H41" s="65">
        <f t="shared" si="16"/>
        <v>5.904516129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9"/>
      <c r="C42" s="19"/>
      <c r="D42" s="19"/>
      <c r="E42" s="19"/>
      <c r="F42" s="19"/>
      <c r="G42" s="19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</sheetData>
  <mergeCells count="6">
    <mergeCell ref="B5:E8"/>
    <mergeCell ref="C16:S16"/>
    <mergeCell ref="C17:I17"/>
    <mergeCell ref="J17:O17"/>
    <mergeCell ref="P17:S17"/>
    <mergeCell ref="U17:Y17"/>
  </mergeCells>
  <dataValidations>
    <dataValidation type="list" allowBlank="1" showErrorMessage="1" sqref="E11:E12">
      <formula1>DataBytes</formula1>
    </dataValidation>
    <dataValidation type="decimal" allowBlank="1" showDropDown="1" showErrorMessage="1" sqref="E13">
      <formula1>0.0</formula1>
      <formula2>15.0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5"/>
      <c r="B2" s="76" t="s">
        <v>52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75"/>
      <c r="B3" s="77">
        <v>0.0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>
      <c r="A4" s="75"/>
      <c r="B4" s="77">
        <v>1.0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77">
        <v>2.0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>
      <c r="A6" s="75"/>
      <c r="B6" s="77">
        <v>3.0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77">
        <v>4.0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77">
        <v>5.0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77">
        <v>6.0</v>
      </c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77">
        <v>7.0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77">
        <v>8.0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77">
        <v>12.0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77">
        <v>16.0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77">
        <v>20.0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77">
        <v>24.0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77">
        <v>32.0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77">
        <v>48.0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77">
        <v>64.0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drawing r:id="rId1"/>
</worksheet>
</file>